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S4qs3cI5WZhlhlEGNi6qmTYWdy5liRmwoBwVrXx9OHR3Su4We08CLQw9Z5KofAIwmuOzonTq3oxupj9jIstq2A==" workbookSaltValue="XhoosluDvh75wBIuDKlS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18" i="12"/>
  <c r="ER19" i="8"/>
  <c r="EL19" i="8"/>
  <c r="AC11" i="11"/>
  <c r="EQ19" i="8"/>
  <c r="AP12" i="11"/>
  <c r="Y11" i="11"/>
  <c r="AT18" i="17"/>
  <c r="AL10" i="11"/>
  <c r="N10" i="11"/>
  <c r="N9" i="11"/>
  <c r="AO16" i="11"/>
  <c r="F10" i="10"/>
  <c r="D11" i="2"/>
  <c r="N11" i="11"/>
  <c r="ES19" i="8"/>
  <c r="C18" i="7"/>
  <c r="S19" i="13"/>
  <c r="AG19" i="19"/>
  <c r="F9" i="11"/>
  <c r="CI19" i="8"/>
  <c r="AE19" i="8"/>
  <c r="EP19" i="8"/>
  <c r="ER19" i="13"/>
  <c r="AL13" i="16"/>
  <c r="BL9" i="11"/>
  <c r="P17" i="17"/>
  <c r="BK9" i="11"/>
  <c r="S13" i="16"/>
  <c r="H18" i="16"/>
  <c r="P13" i="16"/>
  <c r="AN13" i="20"/>
  <c r="F17" i="17"/>
  <c r="AQ17" i="17" s="1"/>
  <c r="AO17" i="11"/>
  <c r="M13" i="2"/>
  <c r="N13" i="2"/>
  <c r="C17" i="6"/>
  <c r="AC10" i="11"/>
  <c r="H13" i="12"/>
  <c r="T19" i="8"/>
  <c r="T13" i="12"/>
  <c r="BM12" i="11"/>
  <c r="BJ15" i="11"/>
  <c r="R17" i="20"/>
  <c r="R18" i="20" s="1"/>
  <c r="AZ15" i="11"/>
  <c r="AZ18" i="11" s="1"/>
  <c r="BV12" i="16"/>
  <c r="U10" i="17"/>
  <c r="AA16" i="16"/>
  <c r="T16" i="11"/>
  <c r="BI9" i="11"/>
  <c r="BH11" i="11"/>
  <c r="BH12" i="16"/>
  <c r="S19" i="8"/>
  <c r="BF15" i="8"/>
  <c r="BD12" i="8"/>
  <c r="BD9" i="8"/>
  <c r="AV18" i="17"/>
  <c r="J18" i="17"/>
  <c r="T13" i="16"/>
  <c r="AP13"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6" l="1"/>
  <c r="BL17" i="16" s="1"/>
  <c r="B17" i="6"/>
  <c r="AY18" i="8"/>
  <c r="AW18" i="21"/>
  <c r="AJ19" i="8"/>
  <c r="B16" i="6"/>
  <c r="Z13" i="17"/>
  <c r="AO12" i="17"/>
  <c r="H12" i="7"/>
  <c r="AO12" i="11"/>
  <c r="AB19" i="8"/>
  <c r="Z19" i="8"/>
  <c r="AY13" i="8"/>
  <c r="BG10" i="8"/>
  <c r="K10" i="7" s="1"/>
  <c r="T10" i="21"/>
  <c r="V10" i="21" s="1"/>
  <c r="C19" i="3"/>
  <c r="F9" i="2"/>
  <c r="L12" i="14"/>
  <c r="AO9" i="11"/>
  <c r="H12" i="2"/>
  <c r="M18" i="2"/>
  <c r="N18" i="2"/>
  <c r="AL11" i="11"/>
  <c r="B9" i="6"/>
  <c r="F15" i="17"/>
  <c r="C10" i="6"/>
  <c r="BE15" i="13"/>
  <c r="BA18" i="13"/>
  <c r="BF18" i="13" s="1"/>
  <c r="BG15" i="8"/>
  <c r="E15" i="6"/>
  <c r="BD15" i="8"/>
  <c r="H15" i="7" s="1"/>
  <c r="BE15" i="8"/>
  <c r="BG16" i="8"/>
  <c r="E18" i="2"/>
  <c r="F18" i="2" s="1"/>
  <c r="AL15" i="11"/>
  <c r="L16" i="14"/>
  <c r="F15" i="11"/>
  <c r="F16" i="17"/>
  <c r="AQ16" i="17" s="1"/>
  <c r="E9" i="6"/>
  <c r="K9" i="12" s="1"/>
  <c r="BF9" i="13"/>
  <c r="D11" i="12"/>
  <c r="D12" i="12"/>
  <c r="BF11" i="8"/>
  <c r="BF9" i="8"/>
  <c r="BG9" i="8"/>
  <c r="K9" i="7" s="1"/>
  <c r="BD11" i="8"/>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F19" i="7"/>
  <c r="P12" i="11"/>
  <c r="B19" i="7"/>
  <c r="K12" i="12"/>
  <c r="D19" i="5"/>
  <c r="I10" i="12"/>
  <c r="K10" i="12"/>
  <c r="G21" i="11"/>
  <c r="H13" i="2"/>
  <c r="C18" i="6"/>
  <c r="BW21" i="20"/>
  <c r="BK13" i="11"/>
  <c r="BV13" i="16"/>
  <c r="T18" i="16"/>
  <c r="T19" i="16" s="1"/>
  <c r="P16" i="11"/>
  <c r="BE18" i="13"/>
  <c r="AL18" i="11"/>
  <c r="B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<sst xmlns="http://schemas.openxmlformats.org/spreadsheetml/2006/main" count="2102" uniqueCount="918">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</sst>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kV+R1d+8i/bxen7LYkOMnbGnlA299JW93l7z7ZSXQPM7QIZisSJm9odGVVCyUPasIHL7nji6ORQZEYXtGyChQ==" saltValue="xYRfeWOtTESmcnIyG4zB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0</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71.186440677966104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715</v>
      </c>
      <c r="D16" s="224">
        <f>IF(ISNUMBER(IF(D_I="SI",Datos!I16,Datos!I16+Datos!AC16)),IF(D_I="SI",Datos!I16,Datos!I16+Datos!AC16)," - ")</f>
        <v>715</v>
      </c>
      <c r="E16" s="225">
        <f>IF(ISNUMBER(IF(D_I="SI",Datos!J16,Datos!J16+Datos!AD16)),IF(D_I="SI",Datos!J16,Datos!J16+Datos!AD16)," - ")</f>
        <v>729</v>
      </c>
      <c r="F16" s="225">
        <f>IF(ISNUMBER(IF(D_I="SI",Datos!K16,Datos!K16+Datos!AE16)),IF(D_I="SI",Datos!K16,Datos!K16+Datos!AE16)," - ")</f>
        <v>661</v>
      </c>
      <c r="G16" s="1033" t="str">
        <f>IF(Datos!E16&lt;&gt;"",Datos!E16,Datos!D16)</f>
        <v>04</v>
      </c>
      <c r="H16" s="226">
        <f>IF(ISNUMBER(IF(D_I="SI",Datos!L16,Datos!L16+Datos!AF16)),IF(D_I="SI",Datos!L16,Datos!L16+Datos!AF16)," - ")</f>
        <v>783</v>
      </c>
      <c r="I16" s="1043" t="str">
        <f>IF(ISNUMBER(Datos!AS16/Datos!BM16),Datos!AS16/Datos!BM16," - ")</f>
        <v xml:space="preserve"> - </v>
      </c>
      <c r="J16" s="1044">
        <f>IF(ISNUMBER(Datos!BY16/Datos!CN16),Datos!BY16/Datos!CN16," - ")</f>
        <v>0</v>
      </c>
      <c r="K16" s="229">
        <f t="shared" si="3"/>
        <v>9.5104895104895101E-2</v>
      </c>
      <c r="L16" s="1024">
        <f>IF(ISNUMBER(NºAsuntos!I16/NºAsuntos!G16),(NºAsuntos!I16/NºAsuntos!G16)*11," - ")</f>
        <v>13.030257186081695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0</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715</v>
      </c>
      <c r="D18" s="1048">
        <f>SUBTOTAL(9,D15:D17)</f>
        <v>715</v>
      </c>
      <c r="E18" s="1049">
        <f>SUBTOTAL(9,E15:E17)</f>
        <v>729</v>
      </c>
      <c r="F18" s="1049">
        <f>SUBTOTAL(9,F15:F17)</f>
        <v>661</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715</v>
      </c>
      <c r="D19" s="1070">
        <f>SUBTOTAL(9,D9:D18)</f>
        <v>715</v>
      </c>
      <c r="E19" s="1071">
        <f>SUBTOTAL(9,E9:E18)</f>
        <v>729</v>
      </c>
      <c r="F19" s="1071">
        <f>SUBTOTAL(9,F9:F18)</f>
        <v>661</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LTtsl3xLFpLWG0+FWcM+4Z014tRHrZ4qFnn2Y/GIYDIDEHcpjbzsDAZjdLqfG6z4Ush6ivA0S/FYEAnFSrdmg==" saltValue="N04NSXCbLdGfASwfkTc7e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K2nTQOtBPbQN2dSydiF55hwVa/ooILxIlag8USz/Ei8xEM6+qXJB003RN/On0iK5x8vJKdb199Eho1p73nw5w==" saltValue="KinQ57cMnH5mOzUxf6FF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1</v>
      </c>
      <c r="T10" s="180">
        <v>0</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785</v>
      </c>
      <c r="AT10" s="191"/>
      <c r="AU10" s="199"/>
      <c r="AV10" s="191"/>
      <c r="AW10" s="199"/>
      <c r="AX10" s="191"/>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3835</v>
      </c>
      <c r="J12" s="182">
        <v>916</v>
      </c>
      <c r="K12" s="182">
        <v>624</v>
      </c>
      <c r="L12" s="182">
        <v>4127</v>
      </c>
      <c r="M12" s="182">
        <v>164</v>
      </c>
      <c r="N12" s="182">
        <v>240</v>
      </c>
      <c r="O12" s="180">
        <v>186</v>
      </c>
      <c r="P12" s="182">
        <v>132</v>
      </c>
      <c r="Q12" s="182">
        <v>102</v>
      </c>
      <c r="R12" s="182">
        <v>3245</v>
      </c>
      <c r="S12" s="182">
        <v>3000</v>
      </c>
      <c r="T12" s="182">
        <v>1334</v>
      </c>
      <c r="U12" s="182">
        <v>1013</v>
      </c>
      <c r="V12" s="182">
        <v>3321</v>
      </c>
      <c r="W12" s="182">
        <v>385</v>
      </c>
      <c r="X12" s="188">
        <v>351</v>
      </c>
      <c r="Y12" s="190">
        <v>51</v>
      </c>
      <c r="Z12" s="180">
        <v>47</v>
      </c>
      <c r="AA12" s="180">
        <v>25</v>
      </c>
      <c r="AB12" s="180">
        <v>73</v>
      </c>
      <c r="AC12" s="182">
        <v>0</v>
      </c>
      <c r="AD12" s="182">
        <v>0</v>
      </c>
      <c r="AE12" s="182">
        <v>0</v>
      </c>
      <c r="AF12" s="188">
        <v>0</v>
      </c>
      <c r="AG12" s="201">
        <v>39</v>
      </c>
      <c r="AH12" s="182">
        <v>50</v>
      </c>
      <c r="AI12" s="182">
        <v>49</v>
      </c>
      <c r="AJ12" s="202">
        <v>40</v>
      </c>
      <c r="AK12" s="181">
        <v>0</v>
      </c>
      <c r="AL12" s="182">
        <v>0</v>
      </c>
      <c r="AM12" s="182">
        <v>0</v>
      </c>
      <c r="AN12" s="188">
        <v>0</v>
      </c>
      <c r="AO12" s="258">
        <v>3</v>
      </c>
      <c r="AP12" s="154">
        <v>3</v>
      </c>
      <c r="AQ12" s="154">
        <v>3</v>
      </c>
      <c r="AR12" s="153">
        <v>3</v>
      </c>
      <c r="AS12" s="339" t="s">
        <v>794</v>
      </c>
      <c r="AT12" s="202"/>
      <c r="AU12" s="201"/>
      <c r="AV12" s="202"/>
      <c r="AW12" s="201"/>
      <c r="AX12" s="202"/>
      <c r="AY12" s="126">
        <f t="shared" si="1"/>
        <v>3039</v>
      </c>
      <c r="AZ12" s="127">
        <f t="shared" si="1"/>
        <v>1384</v>
      </c>
      <c r="BA12" s="127">
        <f t="shared" si="1"/>
        <v>1062</v>
      </c>
      <c r="BB12" s="127">
        <f t="shared" si="1"/>
        <v>3361</v>
      </c>
      <c r="BC12" s="125">
        <f>IF(ISNUMBER(X12),X12," - ")</f>
        <v>351</v>
      </c>
      <c r="BD12" s="126">
        <f t="shared" si="2"/>
        <v>0.76734104046242779</v>
      </c>
      <c r="BE12" s="127">
        <f t="shared" si="3"/>
        <v>3.164783427495292</v>
      </c>
      <c r="BF12" s="127">
        <f t="shared" si="4"/>
        <v>0.33050847457627119</v>
      </c>
      <c r="BG12" s="195">
        <f t="shared" si="5"/>
        <v>4.1647834274952915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3835</v>
      </c>
      <c r="J13" s="183">
        <f t="shared" si="6"/>
        <v>916</v>
      </c>
      <c r="K13" s="183">
        <f t="shared" si="6"/>
        <v>624</v>
      </c>
      <c r="L13" s="183">
        <f t="shared" si="6"/>
        <v>4127</v>
      </c>
      <c r="M13" s="183">
        <f t="shared" si="6"/>
        <v>164</v>
      </c>
      <c r="N13" s="183">
        <f t="shared" si="6"/>
        <v>240</v>
      </c>
      <c r="O13" s="183">
        <f t="shared" si="6"/>
        <v>186</v>
      </c>
      <c r="P13" s="183">
        <f t="shared" si="6"/>
        <v>132</v>
      </c>
      <c r="Q13" s="183">
        <f t="shared" si="6"/>
        <v>102</v>
      </c>
      <c r="R13" s="183">
        <f t="shared" si="6"/>
        <v>3245</v>
      </c>
      <c r="S13" s="183">
        <f t="shared" si="6"/>
        <v>3001</v>
      </c>
      <c r="T13" s="183">
        <f t="shared" si="6"/>
        <v>1334</v>
      </c>
      <c r="U13" s="183">
        <f t="shared" si="6"/>
        <v>1014</v>
      </c>
      <c r="V13" s="183">
        <f t="shared" si="6"/>
        <v>3321</v>
      </c>
      <c r="W13" s="183">
        <f t="shared" si="6"/>
        <v>386</v>
      </c>
      <c r="X13" s="183">
        <f t="shared" si="6"/>
        <v>351</v>
      </c>
      <c r="Y13" s="183">
        <f t="shared" si="6"/>
        <v>51</v>
      </c>
      <c r="Z13" s="183">
        <f t="shared" si="6"/>
        <v>47</v>
      </c>
      <c r="AA13" s="183">
        <f t="shared" si="6"/>
        <v>25</v>
      </c>
      <c r="AB13" s="183">
        <f t="shared" si="6"/>
        <v>73</v>
      </c>
      <c r="AC13" s="183">
        <f t="shared" si="6"/>
        <v>0</v>
      </c>
      <c r="AD13" s="183">
        <f t="shared" si="6"/>
        <v>0</v>
      </c>
      <c r="AE13" s="183">
        <f t="shared" si="6"/>
        <v>0</v>
      </c>
      <c r="AF13" s="183">
        <f>SUBTOTAL(9,AF9:AF12)</f>
        <v>0</v>
      </c>
      <c r="AG13" s="183">
        <f t="shared" ref="AG13:AT13" si="7">SUBTOTAL(9,AG8:AG12)</f>
        <v>39</v>
      </c>
      <c r="AH13" s="183">
        <f t="shared" si="7"/>
        <v>50</v>
      </c>
      <c r="AI13" s="183">
        <f t="shared" si="7"/>
        <v>49</v>
      </c>
      <c r="AJ13" s="183">
        <f t="shared" si="7"/>
        <v>40</v>
      </c>
      <c r="AK13" s="183">
        <f t="shared" si="7"/>
        <v>0</v>
      </c>
      <c r="AL13" s="183">
        <f t="shared" si="7"/>
        <v>0</v>
      </c>
      <c r="AM13" s="183">
        <f t="shared" si="7"/>
        <v>0</v>
      </c>
      <c r="AN13" s="183">
        <f t="shared" si="7"/>
        <v>0</v>
      </c>
      <c r="AO13" s="183">
        <f t="shared" si="7"/>
        <v>3</v>
      </c>
      <c r="AP13" s="183">
        <f t="shared" si="7"/>
        <v>3</v>
      </c>
      <c r="AQ13" s="183">
        <f t="shared" si="7"/>
        <v>3</v>
      </c>
      <c r="AR13" s="183">
        <f t="shared" si="7"/>
        <v>3</v>
      </c>
      <c r="AS13" s="183">
        <f t="shared" si="7"/>
        <v>0</v>
      </c>
      <c r="AT13" s="183">
        <f t="shared" si="7"/>
        <v>0</v>
      </c>
      <c r="AU13" s="203"/>
      <c r="AV13" s="132"/>
      <c r="AW13" s="203"/>
      <c r="AX13" s="132"/>
      <c r="AY13" s="183">
        <f>SUBTOTAL(9,AY8:AY12)</f>
        <v>3040</v>
      </c>
      <c r="AZ13" s="183">
        <f>SUBTOTAL(9,AZ8:AZ12)</f>
        <v>1384</v>
      </c>
      <c r="BA13" s="183">
        <f>SUBTOTAL(9,BA8:BA12)</f>
        <v>1063</v>
      </c>
      <c r="BB13" s="183">
        <f>SUBTOTAL(9,BB8:BB12)</f>
        <v>3361</v>
      </c>
      <c r="BC13" s="183">
        <f>SUBTOTAL(9,BC8:BC12)</f>
        <v>352</v>
      </c>
      <c r="BD13" s="204">
        <f>IF(ISNUMBER(BA13/AZ13),BA13/AZ13," - ")</f>
        <v>0.76806358381502893</v>
      </c>
      <c r="BE13" s="205">
        <f>IF(ISNUMBER(BB13/BA13),BB13/BA13, " - ")</f>
        <v>3.1618062088428975</v>
      </c>
      <c r="BF13" s="205">
        <f>IF(ISNUMBER(BC13/BA13),BC13/BA13, " - ")</f>
        <v>0.33113828786453436</v>
      </c>
      <c r="BG13" s="206">
        <f>IF(ISNUMBER((AY13+AZ13)/BA13),(AY13+AZ13)/BA13," - ")</f>
        <v>4.1618062088428971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715</v>
      </c>
      <c r="J16" s="182">
        <v>729</v>
      </c>
      <c r="K16" s="182">
        <v>661</v>
      </c>
      <c r="L16" s="182">
        <v>783</v>
      </c>
      <c r="M16" s="182">
        <v>101</v>
      </c>
      <c r="N16" s="182">
        <v>475</v>
      </c>
      <c r="O16" s="180">
        <v>14</v>
      </c>
      <c r="P16" s="182">
        <v>40</v>
      </c>
      <c r="Q16" s="182">
        <v>14</v>
      </c>
      <c r="R16" s="182">
        <v>208</v>
      </c>
      <c r="S16" s="182">
        <v>551</v>
      </c>
      <c r="T16" s="182">
        <v>875</v>
      </c>
      <c r="U16" s="182">
        <v>810</v>
      </c>
      <c r="V16" s="182">
        <v>628</v>
      </c>
      <c r="W16" s="182">
        <v>97</v>
      </c>
      <c r="X16" s="188">
        <v>606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551</v>
      </c>
      <c r="AZ16" s="127">
        <f t="shared" si="9"/>
        <v>875</v>
      </c>
      <c r="BA16" s="127">
        <f t="shared" si="9"/>
        <v>810</v>
      </c>
      <c r="BB16" s="127">
        <f t="shared" si="9"/>
        <v>628</v>
      </c>
      <c r="BC16" s="125">
        <f>IF(ISNUMBER(W16),W16," - ")</f>
        <v>97</v>
      </c>
      <c r="BD16" s="126">
        <f t="shared" ref="BD16" si="11">IF(ISNUMBER(BA16/AZ16),BA16/AZ16," - ")</f>
        <v>0.92571428571428571</v>
      </c>
      <c r="BE16" s="127">
        <f t="shared" ref="BE16" si="12">IF(ISNUMBER(BB16/BA16),BB16/BA16, " - ")</f>
        <v>0.77530864197530869</v>
      </c>
      <c r="BF16" s="127">
        <f t="shared" ref="BF16" si="13">IF(ISNUMBER(BC16/BA16),BC16/BA16, " - ")</f>
        <v>0.11975308641975309</v>
      </c>
      <c r="BG16" s="195">
        <f t="shared" si="10"/>
        <v>1.7604938271604937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9</v>
      </c>
      <c r="T17" s="182">
        <v>1</v>
      </c>
      <c r="U17" s="182">
        <v>7</v>
      </c>
      <c r="V17" s="182">
        <v>3</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3">
        <v>0</v>
      </c>
      <c r="AR17" s="154">
        <v>0</v>
      </c>
      <c r="AS17" s="338" t="s">
        <v>784</v>
      </c>
      <c r="AT17" s="208"/>
      <c r="AU17" s="199"/>
      <c r="AV17" s="208"/>
      <c r="AW17" s="199"/>
      <c r="AX17" s="208"/>
      <c r="AY17" s="128">
        <f t="shared" ref="AY17:BB17" si="14">IF(ISNUMBER(S17),S17," - ")</f>
        <v>9</v>
      </c>
      <c r="AZ17" s="129">
        <f t="shared" si="14"/>
        <v>1</v>
      </c>
      <c r="BA17" s="129">
        <f t="shared" si="14"/>
        <v>7</v>
      </c>
      <c r="BB17" s="129">
        <f t="shared" si="14"/>
        <v>3</v>
      </c>
      <c r="BC17" s="125">
        <f>IF(ISNUMBER(W17),W17," - ")</f>
        <v>0</v>
      </c>
      <c r="BD17" s="126">
        <f>IF(ISNUMBER(BA17/AZ17),BA17/AZ17," - ")</f>
        <v>7</v>
      </c>
      <c r="BE17" s="127">
        <f>IF(ISNUMBER(BB17/BA17),BB17/BA17, " - ")</f>
        <v>0.42857142857142855</v>
      </c>
      <c r="BF17" s="127">
        <f>IF(ISNUMBER(BC17/BA17),BC17/BA17, " - ")</f>
        <v>0</v>
      </c>
      <c r="BG17" s="195">
        <f>IF(ISNUMBER((AY17+AZ17)/BA17),(AY17+AZ17)/BA17," - ")</f>
        <v>1.4285714285714286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715</v>
      </c>
      <c r="J18" s="183">
        <f t="shared" si="15"/>
        <v>729</v>
      </c>
      <c r="K18" s="183">
        <f t="shared" si="15"/>
        <v>661</v>
      </c>
      <c r="L18" s="183">
        <f t="shared" si="15"/>
        <v>783</v>
      </c>
      <c r="M18" s="183">
        <f t="shared" si="15"/>
        <v>101</v>
      </c>
      <c r="N18" s="183">
        <f t="shared" si="15"/>
        <v>475</v>
      </c>
      <c r="O18" s="183">
        <f t="shared" si="15"/>
        <v>14</v>
      </c>
      <c r="P18" s="183">
        <f t="shared" si="15"/>
        <v>40</v>
      </c>
      <c r="Q18" s="183">
        <f t="shared" si="15"/>
        <v>14</v>
      </c>
      <c r="R18" s="183">
        <f t="shared" si="15"/>
        <v>208</v>
      </c>
      <c r="S18" s="183">
        <f t="shared" si="15"/>
        <v>560</v>
      </c>
      <c r="T18" s="183">
        <f t="shared" si="15"/>
        <v>876</v>
      </c>
      <c r="U18" s="183">
        <f t="shared" si="15"/>
        <v>817</v>
      </c>
      <c r="V18" s="183">
        <f t="shared" si="15"/>
        <v>631</v>
      </c>
      <c r="W18" s="183">
        <f t="shared" si="15"/>
        <v>97</v>
      </c>
      <c r="X18" s="183">
        <f t="shared" si="15"/>
        <v>606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3</v>
      </c>
      <c r="AQ18" s="183">
        <f t="shared" si="15"/>
        <v>3</v>
      </c>
      <c r="AR18" s="183">
        <f t="shared" si="15"/>
        <v>3</v>
      </c>
      <c r="AS18" s="183">
        <f t="shared" si="15"/>
        <v>0</v>
      </c>
      <c r="AT18" s="183">
        <f t="shared" si="15"/>
        <v>0</v>
      </c>
      <c r="AU18" s="203"/>
      <c r="AV18" s="132"/>
      <c r="AW18" s="203"/>
      <c r="AX18" s="132"/>
      <c r="AY18" s="183">
        <f>SUBTOTAL(9,AY14:AY17)</f>
        <v>560</v>
      </c>
      <c r="AZ18" s="183">
        <f>SUBTOTAL(9,AZ14:AZ17)</f>
        <v>876</v>
      </c>
      <c r="BA18" s="183">
        <f>SUBTOTAL(9,BA14:BA17)</f>
        <v>817</v>
      </c>
      <c r="BB18" s="183">
        <f>SUBTOTAL(9,BB14:BB17)</f>
        <v>631</v>
      </c>
      <c r="BC18" s="183">
        <f>SUBTOTAL(9,BC14:BC17)</f>
        <v>97</v>
      </c>
      <c r="BD18" s="204">
        <f>IF(ISNUMBER(BA18/AZ18),BA18/AZ18," - ")</f>
        <v>0.93264840182648401</v>
      </c>
      <c r="BE18" s="205">
        <f>IF(ISNUMBER(BB18/BA18),BB18/BA18, " - ")</f>
        <v>0.77233782129742967</v>
      </c>
      <c r="BF18" s="205">
        <f>IF(ISNUMBER(BC18/BA18),BC18/BA18, " - ")</f>
        <v>0.11872705018359853</v>
      </c>
      <c r="BG18" s="206">
        <f>IF(ISNUMBER((AY18+AZ18)/BA18),(AY18+AZ18)/BA18," - ")</f>
        <v>1.7576499388004896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4550</v>
      </c>
      <c r="J19" s="134">
        <f t="shared" si="18"/>
        <v>1645</v>
      </c>
      <c r="K19" s="134">
        <f t="shared" si="18"/>
        <v>1285</v>
      </c>
      <c r="L19" s="134">
        <f t="shared" si="18"/>
        <v>4910</v>
      </c>
      <c r="M19" s="134">
        <f t="shared" si="18"/>
        <v>265</v>
      </c>
      <c r="N19" s="134">
        <f t="shared" si="18"/>
        <v>715</v>
      </c>
      <c r="O19" s="134">
        <f t="shared" si="18"/>
        <v>200</v>
      </c>
      <c r="P19" s="134">
        <f t="shared" si="18"/>
        <v>172</v>
      </c>
      <c r="Q19" s="134">
        <f t="shared" si="18"/>
        <v>116</v>
      </c>
      <c r="R19" s="134">
        <f t="shared" si="18"/>
        <v>3453</v>
      </c>
      <c r="S19" s="134">
        <f t="shared" si="18"/>
        <v>3561</v>
      </c>
      <c r="T19" s="134">
        <f t="shared" si="18"/>
        <v>2210</v>
      </c>
      <c r="U19" s="134">
        <f t="shared" si="18"/>
        <v>1831</v>
      </c>
      <c r="V19" s="134">
        <f t="shared" si="18"/>
        <v>3952</v>
      </c>
      <c r="W19" s="134">
        <f t="shared" si="18"/>
        <v>483</v>
      </c>
      <c r="X19" s="134">
        <f t="shared" si="18"/>
        <v>957</v>
      </c>
      <c r="Y19" s="134">
        <f t="shared" si="18"/>
        <v>51</v>
      </c>
      <c r="Z19" s="134">
        <f t="shared" si="18"/>
        <v>47</v>
      </c>
      <c r="AA19" s="134">
        <f t="shared" si="18"/>
        <v>25</v>
      </c>
      <c r="AB19" s="134">
        <f t="shared" si="18"/>
        <v>73</v>
      </c>
      <c r="AC19" s="134">
        <f t="shared" si="18"/>
        <v>0</v>
      </c>
      <c r="AD19" s="134">
        <f t="shared" si="18"/>
        <v>0</v>
      </c>
      <c r="AE19" s="134">
        <f t="shared" si="18"/>
        <v>0</v>
      </c>
      <c r="AF19" s="134">
        <f t="shared" si="18"/>
        <v>0</v>
      </c>
      <c r="AG19" s="134">
        <f t="shared" si="18"/>
        <v>39</v>
      </c>
      <c r="AH19" s="134">
        <f t="shared" si="18"/>
        <v>50</v>
      </c>
      <c r="AI19" s="134">
        <f t="shared" si="18"/>
        <v>49</v>
      </c>
      <c r="AJ19" s="134">
        <f t="shared" si="18"/>
        <v>40</v>
      </c>
      <c r="AK19" s="134">
        <f t="shared" si="18"/>
        <v>0</v>
      </c>
      <c r="AL19" s="134">
        <f t="shared" si="18"/>
        <v>0</v>
      </c>
      <c r="AM19" s="134">
        <f t="shared" si="18"/>
        <v>0</v>
      </c>
      <c r="AN19" s="209">
        <f t="shared" si="18"/>
        <v>0</v>
      </c>
      <c r="AO19" s="210">
        <v>3</v>
      </c>
      <c r="AP19" s="210">
        <v>3</v>
      </c>
      <c r="AQ19" s="210">
        <v>3</v>
      </c>
      <c r="AR19" s="210">
        <v>3</v>
      </c>
      <c r="AS19" s="152">
        <f t="shared" si="18"/>
        <v>0</v>
      </c>
      <c r="AT19" s="152">
        <f t="shared" si="18"/>
        <v>0</v>
      </c>
      <c r="AU19" s="210"/>
      <c r="AV19" s="211"/>
      <c r="AW19" s="210"/>
      <c r="AX19" s="211"/>
      <c r="AY19" s="133">
        <f>SUBTOTAL(9,AY9:AY18)</f>
        <v>3600</v>
      </c>
      <c r="AZ19" s="134">
        <f>SUBTOTAL(9,AZ9:AZ18)</f>
        <v>2260</v>
      </c>
      <c r="BA19" s="134">
        <f>SUBTOTAL(9,BA9:BA18)</f>
        <v>1880</v>
      </c>
      <c r="BB19" s="134">
        <f>SUBTOTAL(9,BB9:BB18)</f>
        <v>3992</v>
      </c>
      <c r="BC19" s="135">
        <f>SUBTOTAL(9,BC9:BC18)</f>
        <v>449</v>
      </c>
      <c r="BD19" s="212">
        <f>IF(ISNUMBER(BA19/AZ19),BA19/AZ19," - ")</f>
        <v>0.83185840707964598</v>
      </c>
      <c r="BE19" s="209">
        <f>IF(ISNUMBER(BB19/BA19),BB19/BA19, " - ")</f>
        <v>2.1234042553191488</v>
      </c>
      <c r="BF19" s="209">
        <f>IF(ISNUMBER(BC19/BA19),BC19/BA19, " - ")</f>
        <v>0.23882978723404255</v>
      </c>
      <c r="BG19" s="135">
        <f>IF(ISNUMBER((AY19+AZ19)/BA19),(AY19+AZ19)/BA19," - ")</f>
        <v>3.1170212765957448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eP04EFX10ENzBl8dyL6feUYYDNbwOSIWlDdBP4oFDEZ7rd3ewRdHgRaY0B3g/AVSITGRFKAJKvuRtK7jU1JVA==" saltValue="fJXBp+qRVwyx7ddc7s46+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yn19EKwxn4j7PIaZR9/HsdZNCpTMzl6MNRn81u+6P3Yz5v+PdKWLBM9ZklW2SIrANL5u9bH4/MVFyhU3Xck3g==" saltValue="r8PNJ8Zxxl4qFftbQ/1W0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GÜIMAR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0</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132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73</v>
      </c>
      <c r="AI12" s="333" t="str">
        <f>IF(ISNUMBER(Datos!CD12),Datos!CD12,"-")</f>
        <v>-</v>
      </c>
      <c r="AJ12" s="333" t="str">
        <f>IF(ISNUMBER(Datos!EN12),Datos!EN12," - ")</f>
        <v xml:space="preserve"> - </v>
      </c>
      <c r="AK12" s="333"/>
      <c r="AL12" s="478"/>
      <c r="AM12" s="334">
        <f>IF(ISNUMBER(Datos!R12),Datos!R12," - ")</f>
        <v>3245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164</v>
      </c>
      <c r="BD12" s="228">
        <f>IF(ISNUMBER(Datos!N12),Datos!N12," - ")</f>
        <v>240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0.67393561786085154</v>
      </c>
      <c r="BH12" s="259">
        <f>IF(ISNUMBER(((IF(J_V="SI",Datos!L12/Datos!K12,(Datos!L12+Datos!AB12)/(Datos!K12+Datos!AA12)))*11)/factor_trimestre),((IF(J_V="SI",Datos!L12/Datos!K12,(Datos!L12+Datos!AB12)/(Datos!K12+Datos!AA12)))*11)/factor_trimestre," - ")</f>
        <v>19.414483821263484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9.3312597200622092E-3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47</v>
      </c>
      <c r="O13" s="899">
        <f t="shared" si="0"/>
        <v>0</v>
      </c>
      <c r="P13" s="899">
        <f t="shared" si="0"/>
        <v>0</v>
      </c>
      <c r="Q13" s="898">
        <f t="shared" si="0"/>
        <v>132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102</v>
      </c>
      <c r="AD13" s="898">
        <f t="shared" si="1"/>
        <v>0</v>
      </c>
      <c r="AE13" s="898">
        <f t="shared" si="1"/>
        <v>0</v>
      </c>
      <c r="AF13" s="898">
        <f t="shared" si="1"/>
        <v>0</v>
      </c>
      <c r="AG13" s="898">
        <f t="shared" si="1"/>
        <v>0</v>
      </c>
      <c r="AH13" s="898">
        <f t="shared" si="1"/>
        <v>73</v>
      </c>
      <c r="AI13" s="898">
        <f t="shared" si="1"/>
        <v>0</v>
      </c>
      <c r="AJ13" s="898">
        <f t="shared" si="1"/>
        <v>0</v>
      </c>
      <c r="AK13" s="898">
        <f t="shared" si="1"/>
        <v>0</v>
      </c>
      <c r="AL13" s="898">
        <f t="shared" si="1"/>
        <v>0</v>
      </c>
      <c r="AM13" s="898">
        <f t="shared" si="1"/>
        <v>3245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164</v>
      </c>
      <c r="BD13" s="898">
        <f t="shared" si="1"/>
        <v>240</v>
      </c>
      <c r="BE13" s="898">
        <f t="shared" si="1"/>
        <v>0</v>
      </c>
      <c r="BF13" s="898">
        <f t="shared" si="1"/>
        <v>0</v>
      </c>
      <c r="BG13" s="898">
        <f>IF(ISNUMBER(Datos!K13/Datos!J13),Datos!K13/Datos!J13," - ")</f>
        <v>0.68122270742358082</v>
      </c>
      <c r="BH13" s="902">
        <f>IF(ISNUMBER(((Datos!L13/Datos!K13)*11)/factor_trimestre),((Datos!L13/Datos!K13)*11)/factor_trimestre," - ")</f>
        <v>19.841346153846157</v>
      </c>
      <c r="BI13" s="898">
        <f>IF(ISNUMBER('Resol  Asuntos'!D13/NºAsuntos!G13),'Resol  Asuntos'!D13/NºAsuntos!G13," - ")</f>
        <v>0.2526964560862866</v>
      </c>
      <c r="BJ13" s="898" t="str">
        <f>IF(ISNUMBER(Datos!CI13/Datos!CJ13),Datos!CI13/Datos!CJ13," - ")</f>
        <v xml:space="preserve"> - </v>
      </c>
      <c r="BK13" s="898">
        <f>SUBTOTAL(9,BK8:BK12)</f>
        <v>0</v>
      </c>
      <c r="BL13" s="898" t="str">
        <f>IF(ISNUMBER((I13-AB13+L13)/(F13)),(I13-AB13+L13)/(F13)," - ")</f>
        <v xml:space="preserve"> - </v>
      </c>
      <c r="BM13" s="903">
        <f>SUBTOTAL(9,BM9:BM12)</f>
        <v>9.3312597200622092E-3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715</v>
      </c>
      <c r="G16" s="597">
        <f>IF(ISNUMBER(IF(D_I="SI",Datos!I16,Datos!I16+Datos!AC16)),IF(D_I="SI",Datos!I16,Datos!I16+Datos!AC16)," - ")</f>
        <v>715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661</v>
      </c>
      <c r="AC16" s="225">
        <f>IF(ISNUMBER(Datos!Q16),Datos!Q16," - ")</f>
        <v>14</v>
      </c>
      <c r="AD16" s="333"/>
      <c r="AE16" s="483"/>
      <c r="AF16" s="595">
        <f>IF(ISNUMBER(IF(D_I="SI",Datos!L16,Datos!L16+Datos!AF16)),IF(D_I="SI",Datos!L16,Datos!L16+Datos!AF16)," - ")</f>
        <v>783</v>
      </c>
      <c r="AG16" s="333"/>
      <c r="AH16" s="333"/>
      <c r="AI16" s="333"/>
      <c r="AJ16" s="333"/>
      <c r="AK16" s="333"/>
      <c r="AL16" s="478"/>
      <c r="AM16" s="334">
        <f>IF(ISNUMBER(Datos!R16),Datos!R16," - ")</f>
        <v>208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101</v>
      </c>
      <c r="BD16" s="228">
        <f>IF(ISNUMBER(Datos!N16),Datos!N16," - ")</f>
        <v>475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0.90672153635116604</v>
      </c>
      <c r="BH16" s="259">
        <f>IF(ISNUMBER(((IF(D_I="SI",Datos!L16/Datos!K16,(Datos!L16+Datos!AF16)/(Datos!K16+Datos!AE16)))*11)/factor_trimestre),((IF(D_I="SI",Datos!L16/Datos!K16,(Datos!L16+Datos!AF16)/(Datos!K16+Datos!AE16)))*11)/factor_trimestre," - ")</f>
        <v>3.5537065052950076</v>
      </c>
      <c r="BI16" s="242">
        <f>IF(ISNUMBER('Resol  Asuntos'!D16/NºAsuntos!G16),'Resol  Asuntos'!D16/NºAsuntos!G16," - ")</f>
        <v>0.15279878971255673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0</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715</v>
      </c>
      <c r="G18" s="897">
        <f>SUBTOTAL(9,G15:G17)</f>
        <v>715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661</v>
      </c>
      <c r="AC18" s="898">
        <f t="shared" si="4"/>
        <v>14</v>
      </c>
      <c r="AD18" s="898">
        <f t="shared" si="4"/>
        <v>0</v>
      </c>
      <c r="AE18" s="898">
        <f t="shared" si="4"/>
        <v>0</v>
      </c>
      <c r="AF18" s="898">
        <f t="shared" si="4"/>
        <v>783</v>
      </c>
      <c r="AG18" s="898">
        <f t="shared" si="4"/>
        <v>0</v>
      </c>
      <c r="AH18" s="898">
        <f t="shared" si="4"/>
        <v>0</v>
      </c>
      <c r="AI18" s="898">
        <f t="shared" si="4"/>
        <v>0</v>
      </c>
      <c r="AJ18" s="898">
        <f t="shared" si="4"/>
        <v>0</v>
      </c>
      <c r="AK18" s="898">
        <f t="shared" si="4"/>
        <v>0</v>
      </c>
      <c r="AL18" s="898">
        <f t="shared" si="4"/>
        <v>0</v>
      </c>
      <c r="AM18" s="898">
        <f t="shared" si="4"/>
        <v>208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101</v>
      </c>
      <c r="BD18" s="898">
        <f t="shared" si="4"/>
        <v>475</v>
      </c>
      <c r="BE18" s="898">
        <f t="shared" si="4"/>
        <v>0</v>
      </c>
      <c r="BF18" s="898">
        <f t="shared" si="4"/>
        <v>0</v>
      </c>
      <c r="BG18" s="898">
        <f>IF(ISNUMBER(Datos!K18/Datos!J18),Datos!K18/Datos!J18," - ")</f>
        <v>0.90672153635116604</v>
      </c>
      <c r="BH18" s="902">
        <f>IF(ISNUMBER(((Datos!L18/Datos!K18)*11)/factor_trimestre),((Datos!L18/Datos!K18)*11)/factor_trimestre," - ")</f>
        <v>3.5537065052950076</v>
      </c>
      <c r="BI18" s="898">
        <f>SUBTOTAL(9,BI15:BI17)</f>
        <v>0.15279878971255673</v>
      </c>
      <c r="BJ18" s="898">
        <f>SUBTOTAL(9,BJ15:BJ17)</f>
        <v>0</v>
      </c>
      <c r="BK18" s="898">
        <f>SUBTOTAL(9,BK15:BK17)</f>
        <v>0</v>
      </c>
      <c r="BL18" s="898">
        <f>IF(ISNUMBER((I18-AB18+L18)/(F18)),(I18-AB18+L18)/(F18)," - ")</f>
        <v>-0.9244755244755245</v>
      </c>
      <c r="BM18" s="904">
        <f>IF(ISNUMBER((Datos!P18-Datos!Q18)/(Datos!R18-Datos!P18+Datos!Q18)),(Datos!P18-Datos!Q18)/(Datos!R18-Datos!P18+Datos!Q18)," - ")</f>
        <v>0.14285714285714285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715</v>
      </c>
      <c r="G19" s="819">
        <f t="shared" si="6"/>
        <v>715</v>
      </c>
      <c r="H19" s="821">
        <f t="shared" si="6"/>
        <v>0</v>
      </c>
      <c r="I19" s="819">
        <f t="shared" si="6"/>
        <v>0</v>
      </c>
      <c r="J19" s="821">
        <f t="shared" si="6"/>
        <v>0</v>
      </c>
      <c r="K19" s="821">
        <f t="shared" si="6"/>
        <v>0</v>
      </c>
      <c r="L19" s="880">
        <f t="shared" si="6"/>
        <v>0</v>
      </c>
      <c r="M19" s="880">
        <f t="shared" si="6"/>
        <v>0</v>
      </c>
      <c r="N19" s="880">
        <f t="shared" si="6"/>
        <v>47</v>
      </c>
      <c r="O19" s="880">
        <f t="shared" si="6"/>
        <v>0</v>
      </c>
      <c r="P19" s="880">
        <f t="shared" si="6"/>
        <v>0</v>
      </c>
      <c r="Q19" s="821">
        <f t="shared" si="6"/>
        <v>172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661</v>
      </c>
      <c r="AC19" s="820">
        <f t="shared" si="7"/>
        <v>116</v>
      </c>
      <c r="AD19" s="820">
        <f t="shared" si="7"/>
        <v>0</v>
      </c>
      <c r="AE19" s="820">
        <f t="shared" si="7"/>
        <v>0</v>
      </c>
      <c r="AF19" s="827">
        <f t="shared" si="7"/>
        <v>783</v>
      </c>
      <c r="AG19" s="827">
        <f t="shared" si="7"/>
        <v>0</v>
      </c>
      <c r="AH19" s="827">
        <f t="shared" si="7"/>
        <v>73</v>
      </c>
      <c r="AI19" s="827">
        <f t="shared" si="7"/>
        <v>0</v>
      </c>
      <c r="AJ19" s="820">
        <f t="shared" si="7"/>
        <v>0</v>
      </c>
      <c r="AK19" s="827">
        <f t="shared" si="7"/>
        <v>0</v>
      </c>
      <c r="AL19" s="827">
        <f t="shared" si="7"/>
        <v>0</v>
      </c>
      <c r="AM19" s="827">
        <f t="shared" si="7"/>
        <v>3453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265</v>
      </c>
      <c r="BD19" s="819">
        <f t="shared" si="7"/>
        <v>715</v>
      </c>
      <c r="BE19" s="819">
        <f t="shared" si="7"/>
        <v>0</v>
      </c>
      <c r="BF19" s="829">
        <f t="shared" si="7"/>
        <v>0</v>
      </c>
      <c r="BG19" s="914">
        <f>IF(ISNUMBER(Datos!K19/Datos!J19),Datos!K19/Datos!J19," - ")</f>
        <v>0.78115501519756836</v>
      </c>
      <c r="BH19" s="914">
        <f>IF(ISNUMBER(((Datos!L19/Datos!K19)*11)/factor_trimestre),((Datos!L19/Datos!K19)*11)/factor_trimestre," - ")</f>
        <v>11.463035019455253</v>
      </c>
      <c r="BI19" s="812">
        <f>IF(ISNUMBER(Datos!J19/Datos!I19),Datos!J19/Datos!I19," - ")</f>
        <v>0.36153846153846153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-0.9244755244755245</v>
      </c>
      <c r="BM19" s="888">
        <f>IF(ISNUMBER((Datos!P19-Datos!Q19+R19)/(Datos!R19-Datos!P19+Datos!Q19-R19)),(Datos!P19-Datos!Q19+R19)/(Datos!R19-Datos!P19+Datos!Q19-R19)," - ")</f>
        <v>1.6485133941713276E-2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412.80544247058242</v>
      </c>
      <c r="G21" s="551">
        <f>IF(ISNUMBER(STDEV(G8:G18)),STDEV(G8:G18),"-")</f>
        <v>391.62162861619379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362.04461051091477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73.996396308649167</v>
      </c>
      <c r="BD21" s="550"/>
      <c r="BE21" s="550">
        <f>IF(ISNUMBER(STDEV(BE8:BE18)),STDEV(BE8:BE18),"-")</f>
        <v>0</v>
      </c>
      <c r="BF21" s="555">
        <f>IF(ISNUMBER(STDEV(BF8:BF18)),STDEV(BF8:BF18),"-")</f>
        <v>0</v>
      </c>
      <c r="BG21" s="774">
        <f>IF(ISNUMBER(STDEV(BG8:BG18)),STDEV(BG8:BG18),"-")</f>
        <v>0.13232885584295948</v>
      </c>
      <c r="BH21" s="775">
        <f>IF(ISNUMBER(STDEV(BH8:BH18)),STDEV(BH8:BH18),"-")</f>
        <v>9.2820846088336975</v>
      </c>
      <c r="BI21" s="248">
        <f>IF(ISNUMBER(STDEV(BI8:BI18)),STDEV(BI8:BI18),"-")</f>
        <v>5.7675944572288293E-2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b9Xhm98/m10Jr82zw2cbB4jvzpbMtNRWTy7DkQrXcMbgcj/XpTlUgMekG4p7mpgFiXjRHe8+rYGZtUL7UaJUg==" saltValue="iwlhb2f6Xn2dOC+nU0C6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GÜIMAR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0</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102</v>
      </c>
      <c r="AA12" s="331" t="str">
        <f>IF(ISNUMBER(IF(J_V="SI",Datos!L12,Datos!L12+Datos!AB12)-IF(Monitorios="SI",Datos!CD12,0)),
                          IF(J_V="SI",Datos!L12,Datos!L12+Datos!AB12)-IF(Monitorios="SI",Datos!CD12,0),
                          " - ")</f>
        <v xml:space="preserve"> - </v>
      </c>
      <c r="AB12" s="333"/>
      <c r="AC12" s="333"/>
      <c r="AD12" s="483"/>
      <c r="AE12" s="483">
        <f>IF(ISNUMBER(Datos!R12),Datos!R12," - ")</f>
        <v>3245</v>
      </c>
      <c r="AF12" s="228" t="str">
        <f>IF(ISNUMBER(Datos!BV12),Datos!BV12," - ")</f>
        <v xml:space="preserve"> - </v>
      </c>
      <c r="AG12" s="224" t="str">
        <f>IF(ISNUMBER(Datos!DV12),Datos!DV12," - ")</f>
        <v xml:space="preserve"> - </v>
      </c>
      <c r="AH12" s="297"/>
      <c r="AI12" s="226"/>
      <c r="AJ12" s="224">
        <f>IF(ISNUMBER(Datos!M12),Datos!M12," - ")</f>
        <v>164</v>
      </c>
      <c r="AK12" s="228">
        <f>IF(ISNUMBER(Datos!N12),Datos!N12," - ")</f>
        <v>240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19.414483821263484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9.3312597200622092E-3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132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102</v>
      </c>
      <c r="AA13" s="899">
        <f t="shared" si="2"/>
        <v>0</v>
      </c>
      <c r="AB13" s="899">
        <f t="shared" si="2"/>
        <v>0</v>
      </c>
      <c r="AC13" s="899">
        <f t="shared" si="2"/>
        <v>0</v>
      </c>
      <c r="AD13" s="899">
        <f t="shared" si="2"/>
        <v>0</v>
      </c>
      <c r="AE13" s="899">
        <f t="shared" si="2"/>
        <v>3245</v>
      </c>
      <c r="AF13" s="907">
        <f t="shared" si="2"/>
        <v>0</v>
      </c>
      <c r="AG13" s="907">
        <f t="shared" si="2"/>
        <v>0</v>
      </c>
      <c r="AH13" s="907">
        <f t="shared" si="2"/>
        <v>0</v>
      </c>
      <c r="AI13" s="907">
        <f t="shared" si="2"/>
        <v>0</v>
      </c>
      <c r="AJ13" s="907">
        <f t="shared" si="2"/>
        <v>164</v>
      </c>
      <c r="AK13" s="907">
        <f t="shared" si="2"/>
        <v>240</v>
      </c>
      <c r="AL13" s="907">
        <f t="shared" si="2"/>
        <v>0</v>
      </c>
      <c r="AM13" s="907">
        <f t="shared" si="2"/>
        <v>0</v>
      </c>
      <c r="AN13" s="907">
        <f t="shared" si="2"/>
        <v>0</v>
      </c>
      <c r="AO13" s="903">
        <f>IF(ISNUMBER(((NºAsuntos!I13/NºAsuntos!G13)*11)/factor_trimestre),((NºAsuntos!I13/NºAsuntos!G13)*11)/factor_trimestre," - ")</f>
        <v>19.414483821263484</v>
      </c>
      <c r="AP13" s="909" t="str">
        <f>IF(ISNUMBER(Datos!CI13/Datos!CJ13),Datos!CI13/Datos!CJ13," - ")</f>
        <v xml:space="preserve"> - </v>
      </c>
      <c r="AQ13" s="927">
        <f t="shared" ref="AQ13:AV13" si="3">SUBTOTAL(9,AQ9:AQ12)</f>
        <v>0</v>
      </c>
      <c r="AR13" s="927">
        <f t="shared" si="3"/>
        <v>9.3312597200622092E-3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715</v>
      </c>
      <c r="G16" s="224">
        <f>IF(ISNUMBER(IF(D_I="SI",Datos!I16,Datos!I16+Datos!AC16)),IF(D_I="SI",Datos!I16,Datos!I16+Datos!AC16)," - ")</f>
        <v>715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661</v>
      </c>
      <c r="Z16" s="618">
        <f>IF(ISNUMBER(Datos!Q16),Datos!Q16," - ")</f>
        <v>14</v>
      </c>
      <c r="AA16" s="331">
        <f>IF(ISNUMBER(IF(D_I="SI",Datos!L16,Datos!L16+Datos!AF16)),IF(D_I="SI",Datos!L16,Datos!L16+Datos!AF16)," - ")</f>
        <v>783</v>
      </c>
      <c r="AB16" s="333"/>
      <c r="AC16" s="333"/>
      <c r="AD16" s="483"/>
      <c r="AE16" s="483">
        <f>IF(ISNUMBER(Datos!R16),Datos!R16," - ")</f>
        <v>208</v>
      </c>
      <c r="AF16" s="228" t="str">
        <f>IF(ISNUMBER(Datos!BV16),Datos!BV16," - ")</f>
        <v xml:space="preserve"> - </v>
      </c>
      <c r="AG16" s="224"/>
      <c r="AH16" s="297"/>
      <c r="AI16" s="226"/>
      <c r="AJ16" s="224">
        <f>IF(ISNUMBER(Datos!M16),Datos!M16," - ")</f>
        <v>101</v>
      </c>
      <c r="AK16" s="228">
        <f>IF(ISNUMBER(Datos!N16),Datos!N16," - ")</f>
        <v>475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3.5537065052950076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0</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715</v>
      </c>
      <c r="G18" s="897">
        <f>SUBTOTAL(9,G15:G17)</f>
        <v>715</v>
      </c>
      <c r="H18" s="931">
        <f>SUBTOTAL(9,H15:H17)</f>
        <v>0</v>
      </c>
      <c r="I18" s="910">
        <f>SUBTOTAL(9,I15:I17)</f>
        <v>0</v>
      </c>
      <c r="J18" s="866">
        <f>SUBTOTAL(9,J14:J17)</f>
        <v>0</v>
      </c>
      <c r="K18" s="931">
        <f t="shared" ref="K18:S18" si="4">SUBTOTAL(9,K15:K17)</f>
        <v>0</v>
      </c>
      <c r="L18" s="931">
        <f t="shared" si="4"/>
        <v>0</v>
      </c>
      <c r="M18" s="931">
        <f t="shared" si="4"/>
        <v>0</v>
      </c>
      <c r="N18" s="931">
        <f t="shared" si="4"/>
        <v>40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661</v>
      </c>
      <c r="Z18" s="931">
        <f t="shared" si="5"/>
        <v>14</v>
      </c>
      <c r="AA18" s="931">
        <f t="shared" si="5"/>
        <v>783</v>
      </c>
      <c r="AB18" s="931">
        <f t="shared" si="5"/>
        <v>0</v>
      </c>
      <c r="AC18" s="931">
        <f t="shared" si="5"/>
        <v>0</v>
      </c>
      <c r="AD18" s="931">
        <f t="shared" si="5"/>
        <v>0</v>
      </c>
      <c r="AE18" s="931">
        <f t="shared" si="5"/>
        <v>208</v>
      </c>
      <c r="AF18" s="931">
        <f t="shared" si="5"/>
        <v>0</v>
      </c>
      <c r="AG18" s="931">
        <f t="shared" si="5"/>
        <v>0</v>
      </c>
      <c r="AH18" s="931">
        <f t="shared" si="5"/>
        <v>0</v>
      </c>
      <c r="AI18" s="931">
        <f t="shared" si="5"/>
        <v>0</v>
      </c>
      <c r="AJ18" s="931">
        <f t="shared" si="5"/>
        <v>101</v>
      </c>
      <c r="AK18" s="931">
        <f t="shared" si="5"/>
        <v>475</v>
      </c>
      <c r="AL18" s="931">
        <f t="shared" si="5"/>
        <v>0</v>
      </c>
      <c r="AM18" s="931">
        <f t="shared" si="5"/>
        <v>0</v>
      </c>
      <c r="AN18" s="931">
        <f t="shared" si="5"/>
        <v>0</v>
      </c>
      <c r="AO18" s="933">
        <f>IF(ISNUMBER(((NºAsuntos!I18/NºAsuntos!G18)*11)/factor_trimestre),((NºAsuntos!I18/NºAsuntos!G18)*11)/factor_trimestre," - ")</f>
        <v>3.5537065052950076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715</v>
      </c>
      <c r="G19" s="819">
        <f t="shared" si="7"/>
        <v>715</v>
      </c>
      <c r="H19" s="820">
        <f t="shared" si="7"/>
        <v>0</v>
      </c>
      <c r="I19" s="819">
        <f t="shared" si="7"/>
        <v>0</v>
      </c>
      <c r="J19" s="821">
        <f t="shared" si="7"/>
        <v>0</v>
      </c>
      <c r="K19" s="819">
        <f t="shared" si="7"/>
        <v>0</v>
      </c>
      <c r="L19" s="822">
        <f t="shared" si="7"/>
        <v>0</v>
      </c>
      <c r="M19" s="819">
        <f t="shared" si="7"/>
        <v>0</v>
      </c>
      <c r="N19" s="820">
        <f t="shared" si="7"/>
        <v>172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661</v>
      </c>
      <c r="Z19" s="826">
        <f t="shared" si="8"/>
        <v>116</v>
      </c>
      <c r="AA19" s="827">
        <f t="shared" si="8"/>
        <v>783</v>
      </c>
      <c r="AB19" s="827">
        <f t="shared" si="8"/>
        <v>0</v>
      </c>
      <c r="AC19" s="827">
        <f t="shared" si="8"/>
        <v>0</v>
      </c>
      <c r="AD19" s="828">
        <f t="shared" si="8"/>
        <v>0</v>
      </c>
      <c r="AE19" s="828">
        <f t="shared" si="8"/>
        <v>3453</v>
      </c>
      <c r="AF19" s="829">
        <f t="shared" si="8"/>
        <v>0</v>
      </c>
      <c r="AG19" s="830">
        <f t="shared" si="8"/>
        <v>0</v>
      </c>
      <c r="AH19" s="831">
        <f t="shared" si="8"/>
        <v>0</v>
      </c>
      <c r="AI19" s="829">
        <f t="shared" si="8"/>
        <v>0</v>
      </c>
      <c r="AJ19" s="819">
        <f t="shared" si="8"/>
        <v>265</v>
      </c>
      <c r="AK19" s="819">
        <f t="shared" si="8"/>
        <v>715</v>
      </c>
      <c r="AL19" s="819">
        <f t="shared" si="8"/>
        <v>0</v>
      </c>
      <c r="AM19" s="832">
        <f t="shared" si="8"/>
        <v>0</v>
      </c>
      <c r="AN19" s="822">
        <f>IF(ISNUMBER(Datos!K19/Datos!J19),Datos!K19/Datos!J19," - ")</f>
        <v>0.78115501519756836</v>
      </c>
      <c r="AO19" s="822">
        <f>IF(ISNUMBER(FIND("06",Criterios!A8,1)),(IF(ISNUMBER(((Datos!R19/Datos!Q19)*11)/factor_trimestre),((Datos!R19/Datos!Q19)*11)/factor_trimestre," - ")),(IF(ISNUMBER(((Datos!L19/Datos!K19)*11)/factor_trimestre),((Datos!L19/Datos!K19)*11)/factor_trimestre," - ")))</f>
        <v>11.463035019455253</v>
      </c>
      <c r="AP19" s="833" t="str">
        <f>IF(ISNUMBER(Datos!CI19/Datos!CJ19),Datos!CI19/Datos!CJ19," - ")</f>
        <v xml:space="preserve"> - </v>
      </c>
      <c r="AQ19" s="833">
        <f>IF(OR(ISNUMBER(FIND("01",Criterios!A8,1)),ISNUMBER(FIND("02",Criterios!A8,1)),ISNUMBER(FIND("03",Criterios!A8,1)),ISNUMBER(FIND("04",Criterios!A8,1))),(J19-Y19+K19)/(F19-K19),(I19-Y19+K19)/(F19-K19))</f>
        <v>-0.9244755244755245</v>
      </c>
      <c r="AR19" s="833">
        <f>IF(ISNUMBER((Datos!P19-Datos!Q19+O19)/(Datos!R19-Datos!P19+Datos!Q19-O19)),(Datos!P19-Datos!Q19+O19)/(Datos!R19-Datos!P19+Datos!Q19-O19)," - ")</f>
        <v>1.6485133941713276E-2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412.80544247058242</v>
      </c>
      <c r="G21" s="551">
        <f>IF(ISNUMBER(STDEV(G8:G18)),STDEV(G8:G18),"-")</f>
        <v>391.62162861619379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73.996396308649167</v>
      </c>
      <c r="AK21" s="251"/>
      <c r="AL21" s="251">
        <f>IF(ISNUMBER(STDEV(AL8:AL18)),STDEV(AL8:AL18),"-")</f>
        <v>0</v>
      </c>
      <c r="AM21" s="253">
        <f>IF(ISNUMBER(STDEV(AM8:AM18)),STDEV(AM8:AM18),"-")</f>
        <v>0</v>
      </c>
      <c r="AN21" s="538">
        <f>IF(ISNUMBER(STDEV(AN8:AN18)),STDEV(AN8:AN18),"-")</f>
        <v>0</v>
      </c>
      <c r="AO21" s="539">
        <f>IF(ISNUMBER(STDEV(AO8:AO18)),STDEV(AO8:AO18),"-")</f>
        <v>9.1572240529311077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5NavthsKKei24Iq7g35C0kUDEA6rfuR0awg+pXvK8Vhz5EdDaXiZZhED2FFRVRMiur7yDZH0Go36eL4fKOrUA==" saltValue="De4W7v8eqOUzGVAH3JHj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X1B1d0FO9VM6Y9o1d97mdzOvVN/e3X0WMPxhWzcqqLxGgF/n1Jq06XS2u1Wr6qW1iZymXdLfNu23jKyoRAu/g==" saltValue="ViJ302akrqjquHAXbMcx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deO42cPqCPoxSUEQ3H7LSSoirknszkZiyk3qoHkJN1GjvKDulJxyV7aU/kHqDQTHVBXxFq7qoSbJ0mgzbx43Q==" saltValue="nZqP5P1sMGHwd51W0x9ML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GÜIMAR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0.2526964560862866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0.17868337768042189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08zDq22VoeNKG2z7caJB0aQDac4ftyUXFtWM4JJAStmYKtBPp7bV942SfXwZJpOgA76L5Rm+erSrfCLbdv92Q==" saltValue="pTe+FGE1CMQxxepuwSgu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akxKiwYJ0tGlctruCYVwJVDMS5FWlSYAE7gx+L+sPUMfXpZyqzUfYhphlUWvAyJqOkBuvwXO4Uzl7Gwc6LBmA==" saltValue="VPq/wkJ2mIU0oIE1nZsf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GÜIMAR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3886</v>
      </c>
      <c r="D12" s="403">
        <f>IF(ISNUMBER(C12/Datos!BH12),C12/Datos!BH12," - ")</f>
        <v>1295.3333333333333</v>
      </c>
      <c r="E12" s="402">
        <f>IF(ISNUMBER(IF(J_V="SI",Datos!J12,Datos!J12+Datos!Z12)),IF(J_V="SI",Datos!J12,Datos!J12+Datos!Z12)," - ")</f>
        <v>963</v>
      </c>
      <c r="F12" s="403">
        <f>IF(ISNUMBER(E12/B12),E12/B12," - ")</f>
        <v>321</v>
      </c>
      <c r="G12" s="402">
        <f>IF(ISNUMBER(IF(J_V="SI",Datos!K12,Datos!K12+Datos!AA12)),IF(J_V="SI",Datos!K12,Datos!K12+Datos!AA12)," - ")</f>
        <v>649</v>
      </c>
      <c r="H12" s="403">
        <f>IF(ISNUMBER(G12/B12),G12/B12," - ")</f>
        <v>216.33333333333334</v>
      </c>
      <c r="I12" s="402">
        <f>IF(ISNUMBER(IF(J_V="SI",Datos!L12,Datos!L12+Datos!AB12)),IF(J_V="SI",Datos!L12,Datos!L12+Datos!AB12)," - ")</f>
        <v>4200</v>
      </c>
      <c r="J12" s="403">
        <f>IF(ISNUMBER(I12/B12),I12/B12," - ")</f>
        <v>1400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3886</v>
      </c>
      <c r="D13" s="849" t="str">
        <f>IF(ISNUMBER(C13/Datos!BI13),C13/Datos!BI13," - ")</f>
        <v xml:space="preserve"> - </v>
      </c>
      <c r="E13" s="848">
        <f>SUBTOTAL(9,E8:E12)</f>
        <v>963</v>
      </c>
      <c r="F13" s="849">
        <f>IF(ISNUMBER(E13/B13),E13/B13," - ")</f>
        <v>321</v>
      </c>
      <c r="G13" s="848">
        <f>SUBTOTAL(9,G8:G12)</f>
        <v>649</v>
      </c>
      <c r="H13" s="849">
        <f>IF(ISNUMBER(G13/B13),G13/B13," - ")</f>
        <v>216.33333333333334</v>
      </c>
      <c r="I13" s="848">
        <f>SUBTOTAL(9,I8:I12)</f>
        <v>4200</v>
      </c>
      <c r="J13" s="849">
        <f>IF(ISNUMBER(I13/B13),I13/B13," - ")</f>
        <v>1400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715</v>
      </c>
      <c r="D16" s="403">
        <f>IF(ISNUMBER(C16/Datos!BH16),C16/Datos!BH16," - ")</f>
        <v>238.33333333333334</v>
      </c>
      <c r="E16" s="402">
        <f>IF(ISNUMBER(IF(D_I="SI",Datos!J16,Datos!J16+Datos!AD16)),IF(D_I="SI",Datos!J16,Datos!J16+Datos!AD16)," - ")</f>
        <v>729</v>
      </c>
      <c r="F16" s="403">
        <f>IF(ISNUMBER(E16/B16),E16/B16," - ")</f>
        <v>243</v>
      </c>
      <c r="G16" s="402">
        <f>IF(ISNUMBER(IF(D_I="SI",Datos!K16,Datos!K16+Datos!AE16)),IF(D_I="SI",Datos!K16,Datos!K16+Datos!AE16)," - ")</f>
        <v>661</v>
      </c>
      <c r="H16" s="403">
        <f>IF(ISNUMBER(G16/B16),G16/B16," - ")</f>
        <v>220.33333333333334</v>
      </c>
      <c r="I16" s="402">
        <f>IF(ISNUMBER(IF(D_I="SI",Datos!L16,Datos!L16+Datos!AF16)),IF(D_I="SI",Datos!L16,Datos!L16+Datos!AF16)," - ")</f>
        <v>783</v>
      </c>
      <c r="J16" s="403">
        <f>IF(ISNUMBER(I16/B16),I16/B16," - ")</f>
        <v>261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0</v>
      </c>
      <c r="C17" s="402">
        <f>IF(ISNUMBER(IF(D_I="SI",Datos!I17,Datos!I17+Datos!AC17)),IF(D_I="SI",Datos!I17,Datos!I17+Datos!AC17)," - ")</f>
        <v>0</v>
      </c>
      <c r="D17" s="403">
        <f>IF(ISNUMBER(C17/Datos!BH17),C17/Datos!BH17," - ")</f>
        <v>0</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0</v>
      </c>
      <c r="J17" s="403" t="str">
        <f>IF(ISNUMBER(I17/B17),I17/B17," - ")</f>
        <v xml:space="preserve"> - </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715</v>
      </c>
      <c r="D18" s="849" t="str">
        <f>IF(ISNUMBER(C18/Datos!BI18),C18/Datos!BI18," - ")</f>
        <v xml:space="preserve"> - </v>
      </c>
      <c r="E18" s="848">
        <f>SUBTOTAL(9,E14:E17)</f>
        <v>729</v>
      </c>
      <c r="F18" s="849">
        <f>IF(ISNUMBER(E18/B18),E18/B18," - ")</f>
        <v>243</v>
      </c>
      <c r="G18" s="848">
        <f>SUBTOTAL(9,G14:G17)</f>
        <v>661</v>
      </c>
      <c r="H18" s="849">
        <f>IF(ISNUMBER(G18/B18),G18/B18," - ")</f>
        <v>220.33333333333334</v>
      </c>
      <c r="I18" s="848">
        <f>SUBTOTAL(9,I14:I17)</f>
        <v>783</v>
      </c>
      <c r="J18" s="849">
        <f>IF(ISNUMBER(I18/B18),I18/B18," - ")</f>
        <v>261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4601</v>
      </c>
      <c r="D19" s="794" t="str">
        <f>IF(ISNUMBER(C19/Datos!BI19),C19/Datos!BI19," - ")</f>
        <v xml:space="preserve"> - </v>
      </c>
      <c r="E19" s="793">
        <f>SUBTOTAL(9,E9:E18)</f>
        <v>1692</v>
      </c>
      <c r="F19" s="794">
        <f>IF(ISNUMBER(E19/B19),E19/B19," - ")</f>
        <v>564</v>
      </c>
      <c r="G19" s="793">
        <f>SUBTOTAL(9,G9:G18)</f>
        <v>1310</v>
      </c>
      <c r="H19" s="794">
        <f>IF(ISNUMBER(G19/B19),G19/B19," - ")</f>
        <v>436.66666666666669</v>
      </c>
      <c r="I19" s="793">
        <f>SUBTOTAL(9,I9:I18)</f>
        <v>4983</v>
      </c>
      <c r="J19" s="794">
        <f>IF(ISNUMBER(I19/B19),I19/B19," - ")</f>
        <v>1661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KwOtGwgp6pCl+Lc4eM5udpNPUqOXWlPOHfiMcdM3xeOhC8cFI61bLUYlle9csA5d2qa6c9Vt7iRV/Z1Kh0pH0g==" saltValue="5NuxMUEw0x+Tlhb40k+3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GÜIMAR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0</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3245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164</v>
      </c>
      <c r="AM12" s="689">
        <f>IF(ISNUMBER(Datos!N12+DatosP!N16),Datos!N12+DatosP!N16," - ")</f>
        <v>240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19.414483821263484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9.3312597200622092E-3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132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102</v>
      </c>
      <c r="AE13" s="938">
        <f t="shared" si="1"/>
        <v>0</v>
      </c>
      <c r="AF13" s="938">
        <f t="shared" si="1"/>
        <v>0</v>
      </c>
      <c r="AG13" s="938">
        <f t="shared" si="1"/>
        <v>0</v>
      </c>
      <c r="AH13" s="938">
        <f t="shared" si="1"/>
        <v>3245</v>
      </c>
      <c r="AI13" s="938">
        <f t="shared" si="1"/>
        <v>0</v>
      </c>
      <c r="AJ13" s="938">
        <f t="shared" si="1"/>
        <v>0</v>
      </c>
      <c r="AK13" s="938">
        <f t="shared" si="1"/>
        <v>0</v>
      </c>
      <c r="AL13" s="938">
        <f t="shared" si="1"/>
        <v>164</v>
      </c>
      <c r="AM13" s="938">
        <f t="shared" si="1"/>
        <v>240</v>
      </c>
      <c r="AN13" s="938">
        <f t="shared" si="1"/>
        <v>0</v>
      </c>
      <c r="AO13" s="938">
        <f t="shared" si="1"/>
        <v>0</v>
      </c>
      <c r="AP13" s="943">
        <f>IF(ISNUMBER(((Datos!L13/Datos!K13)*11)/factor_trimestre),((Datos!L13/Datos!K13)*11)/factor_trimestre," - ")</f>
        <v>19.841346153846157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9.3312597200622092E-3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0</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3.5537065052950076</v>
      </c>
      <c r="AQ18" s="943">
        <f>IF(ISNUMBER(((Datos!M18/Datos!L18)*11)/factor_trimestre),((Datos!M18/Datos!L18)*11)/factor_trimestre," - ")</f>
        <v>0.38697318007662834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0.14285714285714285</v>
      </c>
      <c r="AW18" s="945">
        <f>IF(ISNUMBER((Datos!Q18-Datos!R18)/(Datos!S18-Datos!Q18+Datos!R18)),(Datos!Q18-Datos!R18)/(Datos!S18-Datos!Q18+Datos!R18)," - ")</f>
        <v>-0.2572944297082228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132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102</v>
      </c>
      <c r="AE19" s="956">
        <f t="shared" si="5"/>
        <v>0</v>
      </c>
      <c r="AF19" s="957">
        <f t="shared" si="5"/>
        <v>0</v>
      </c>
      <c r="AG19" s="957">
        <f t="shared" si="5"/>
        <v>0</v>
      </c>
      <c r="AH19" s="957">
        <f t="shared" si="5"/>
        <v>3245</v>
      </c>
      <c r="AI19" s="957">
        <f t="shared" si="5"/>
        <v>0</v>
      </c>
      <c r="AJ19" s="958">
        <f t="shared" si="5"/>
        <v>0</v>
      </c>
      <c r="AK19" s="958">
        <f t="shared" si="5"/>
        <v>0</v>
      </c>
      <c r="AL19" s="950">
        <f t="shared" si="5"/>
        <v>164</v>
      </c>
      <c r="AM19" s="950">
        <f t="shared" si="5"/>
        <v>240</v>
      </c>
      <c r="AN19" s="950">
        <f t="shared" si="5"/>
        <v>0</v>
      </c>
      <c r="AO19" s="950">
        <f t="shared" si="5"/>
        <v>0</v>
      </c>
      <c r="AP19" s="950">
        <f>IF(ISNUMBER(((Datos!L19/Datos!K19)*11)/factor_trimestre),((Datos!L19/Datos!K19)*11)/factor_trimestre," - ")</f>
        <v>11.463035019455253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1.6485133941713276E-2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94.685444147098622</v>
      </c>
      <c r="AM21" s="735"/>
      <c r="AN21" s="735">
        <f>IF(ISNUMBER(STDEV(AN8:AN18)),STDEV(AN8:AN18),"-")</f>
        <v>0</v>
      </c>
      <c r="AO21" s="741">
        <f>IF(ISNUMBER(STDEV(AO8:AO18)),STDEV(AO8:AO18),"-")</f>
        <v>0</v>
      </c>
      <c r="AP21" s="778">
        <f>IF(ISNUMBER(STDEV(AP8:AP18)),STDEV(AP8:AP18),"-")</f>
        <v>9.2829025080051863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wFHn/DySmXk/isk98TqR9U6y//bEar8q8zVXOyyWPM7X6ICdJFbYyVG4CjdI51K9FIqtGtAZJwzfJRzUec7kw==" saltValue="rxwGlPykn4PWKmpXQTqG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GÜIMAR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HOzE5sE0cxlLdg9o2U8bGQBO0V+kQnrxqyt8ZCdvQ41qKrHDJZi69GozFChNJ5urm4sb+I6hlx6T5KuyX97Tqw==" saltValue="nC++RxkK/R7LTq2AJa5R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GÜIMAR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164</v>
      </c>
      <c r="E12" s="403">
        <f t="shared" si="0"/>
        <v>54.666666666666664</v>
      </c>
      <c r="F12" s="402">
        <f>IF(ISNUMBER(Datos!N12),Datos!N12," - ")</f>
        <v>240</v>
      </c>
      <c r="G12" s="403">
        <f t="shared" si="1"/>
        <v>80</v>
      </c>
      <c r="H12" s="402">
        <f>IF(ISNUMBER(Datos!O12),Datos!O12," - ")</f>
        <v>186</v>
      </c>
      <c r="I12" s="403">
        <f t="shared" si="2"/>
        <v>62</v>
      </c>
      <c r="BZ12" s="1185">
        <f>Datos!EZ12</f>
        <v>0</v>
      </c>
    </row>
    <row r="13" spans="1:78" ht="14.25" thickTop="1" thickBot="1">
      <c r="A13" s="847" t="str">
        <f>Datos!A13</f>
        <v>TOTAL</v>
      </c>
      <c r="B13" s="848">
        <f>Datos!AP13</f>
        <v>3</v>
      </c>
      <c r="C13" s="850">
        <f>Datos!AR13</f>
        <v>3</v>
      </c>
      <c r="D13" s="848">
        <f>SUBTOTAL(9,D9:D12)</f>
        <v>164</v>
      </c>
      <c r="E13" s="849">
        <f t="shared" si="0"/>
        <v>54.666666666666664</v>
      </c>
      <c r="F13" s="848">
        <f>SUBTOTAL(9,F9:F12)</f>
        <v>240</v>
      </c>
      <c r="G13" s="849">
        <f t="shared" si="1"/>
        <v>80</v>
      </c>
      <c r="H13" s="848">
        <f>SUBTOTAL(9,H9:H12)</f>
        <v>186</v>
      </c>
      <c r="I13" s="849">
        <f>IF(ISNUMBER(H13/B13),H13/B13," - ")</f>
        <v>62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101</v>
      </c>
      <c r="E16" s="403">
        <f t="shared" si="3"/>
        <v>33.666666666666664</v>
      </c>
      <c r="F16" s="402">
        <f>IF(ISNUMBER(Datos!N16),Datos!N16," - ")</f>
        <v>475</v>
      </c>
      <c r="G16" s="403">
        <f t="shared" si="4"/>
        <v>158.33333333333334</v>
      </c>
      <c r="H16" s="402">
        <f>IF(ISNUMBER(Datos!O16),Datos!O16," - ")</f>
        <v>14</v>
      </c>
      <c r="I16" s="403">
        <f t="shared" si="5"/>
        <v>4.666666666666667</v>
      </c>
      <c r="BZ16" s="1185">
        <f>Datos!EZ16</f>
        <v>0</v>
      </c>
    </row>
    <row r="17" spans="1:78" ht="13.5" thickBot="1">
      <c r="A17" s="401" t="str">
        <f>Datos!A17</f>
        <v>Jdos. Violencia contra la mujer/Secc Viol. TI.</v>
      </c>
      <c r="B17" s="426">
        <f>Datos!AO17</f>
        <v>0</v>
      </c>
      <c r="C17" s="427">
        <f>Datos!AQ17</f>
        <v>0</v>
      </c>
      <c r="D17" s="402">
        <f>IF(ISNUMBER(Datos!M17),Datos!M17," - ")</f>
        <v>0</v>
      </c>
      <c r="E17" s="403" t="str">
        <f>IF(ISNUMBER(D17/B17),D17/B17," - ")</f>
        <v xml:space="preserve"> - </v>
      </c>
      <c r="F17" s="402">
        <f>IF(ISNUMBER(Datos!N17),Datos!N17," - ")</f>
        <v>0</v>
      </c>
      <c r="G17" s="403" t="str">
        <f>IF(ISNUMBER(F17/B17),F17/B17," - ")</f>
        <v xml:space="preserve"> - </v>
      </c>
      <c r="H17" s="402">
        <f>IF(ISNUMBER(Datos!O17),Datos!O17," - ")</f>
        <v>0</v>
      </c>
      <c r="I17" s="403" t="str">
        <f t="shared" si="5"/>
        <v xml:space="preserve"> - </v>
      </c>
      <c r="BZ17" s="1185">
        <f>Datos!EZ17</f>
        <v>0</v>
      </c>
    </row>
    <row r="18" spans="1:78" ht="14.25" thickTop="1" thickBot="1">
      <c r="A18" s="847" t="str">
        <f>Datos!A18</f>
        <v>TOTAL</v>
      </c>
      <c r="B18" s="848">
        <f>Datos!AP18</f>
        <v>3</v>
      </c>
      <c r="C18" s="850">
        <f>Datos!AR18</f>
        <v>3</v>
      </c>
      <c r="D18" s="848">
        <f>SUBTOTAL(9,D15:D17)</f>
        <v>101</v>
      </c>
      <c r="E18" s="849">
        <f t="shared" si="3"/>
        <v>33.666666666666664</v>
      </c>
      <c r="F18" s="848">
        <f>SUBTOTAL(9,F15:F17)</f>
        <v>475</v>
      </c>
      <c r="G18" s="849">
        <f t="shared" si="4"/>
        <v>158.33333333333334</v>
      </c>
      <c r="H18" s="848">
        <f>SUBTOTAL(9,H15:H17)</f>
        <v>14</v>
      </c>
      <c r="I18" s="849">
        <f>IF(ISNUMBER(H18/B18),H18/B18," - ")</f>
        <v>4.666666666666667</v>
      </c>
      <c r="BZ18" s="1185"/>
    </row>
    <row r="19" spans="1:78" ht="14.25" thickTop="1" thickBot="1">
      <c r="A19" s="792" t="str">
        <f>Datos!A19</f>
        <v>TOTAL JURISDICCIONES</v>
      </c>
      <c r="B19" s="793">
        <f>Datos!AP19</f>
        <v>3</v>
      </c>
      <c r="C19" s="793">
        <f>Datos!AR19</f>
        <v>3</v>
      </c>
      <c r="D19" s="793">
        <f>SUBTOTAL(9,D8:D18)</f>
        <v>265</v>
      </c>
      <c r="E19" s="794">
        <f>IF(ISNUMBER(D19/B19),D19/B19," - ")</f>
        <v>88.333333333333329</v>
      </c>
      <c r="F19" s="793">
        <f>SUBTOTAL(9,F8:F18)</f>
        <v>715</v>
      </c>
      <c r="G19" s="794">
        <f>IF(ISNUMBER(F19/B19),F19/B19," - ")</f>
        <v>238.33333333333334</v>
      </c>
      <c r="H19" s="793">
        <f>SUBTOTAL(9,H8:H18)</f>
        <v>200</v>
      </c>
      <c r="I19" s="794">
        <f>IF(ISNUMBER(H19/B19),H19/B19," - ")</f>
        <v>66.666666666666671</v>
      </c>
    </row>
    <row r="22" spans="1:78">
      <c r="A22" s="390" t="str">
        <f>Criterios!A4</f>
        <v>Fecha Informe: 17 mar. 2026</v>
      </c>
    </row>
    <row r="27" spans="1:78">
      <c r="A27" s="413"/>
    </row>
  </sheetData>
  <sheetProtection algorithmName="SHA-512" hashValue="OXkMQGAqZwfG0eXMi6RSDqgPiAur6oWRi+mYta0lg61rCyKhP5Ny47c/Q2dmgBb6yf6Ama60iS9Nd5TMRqo4CQ==" saltValue="+Ur9e/0xQzrTrG1nDif0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GÜIMAR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132</v>
      </c>
      <c r="C12" s="433">
        <f>IF(ISNUMBER(Datos!Q12),Datos!Q12," - ")</f>
        <v>102</v>
      </c>
      <c r="D12" s="407">
        <f>IF(ISNUMBER(Datos!R12),Datos!R12," - ")</f>
        <v>3245</v>
      </c>
    </row>
    <row r="13" spans="1:4" ht="14.25" thickTop="1" thickBot="1">
      <c r="A13" s="847" t="str">
        <f>Datos!A13</f>
        <v>TOTAL</v>
      </c>
      <c r="B13" s="848">
        <f>SUBTOTAL(9,B9:B12)</f>
        <v>132</v>
      </c>
      <c r="C13" s="852">
        <f>SUBTOTAL(9,C9:C12)</f>
        <v>102</v>
      </c>
      <c r="D13" s="850">
        <f>SUBTOTAL(9,D9:D12)</f>
        <v>3245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40</v>
      </c>
      <c r="C16" s="433">
        <f>IF(ISNUMBER(Datos!Q16),Datos!Q16," - ")</f>
        <v>14</v>
      </c>
      <c r="D16" s="407">
        <f>IF(ISNUMBER(Datos!R16),Datos!R16," - ")</f>
        <v>208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40</v>
      </c>
      <c r="C18" s="852">
        <f>SUBTOTAL(9,C15:C17)</f>
        <v>14</v>
      </c>
      <c r="D18" s="850">
        <f>SUBTOTAL(9,D15:D17)</f>
        <v>208</v>
      </c>
    </row>
    <row r="19" spans="1:4" ht="16.5" customHeight="1" thickTop="1" thickBot="1">
      <c r="A19" s="792" t="str">
        <f>Datos!A19</f>
        <v>TOTAL JURISDICCIONES</v>
      </c>
      <c r="B19" s="797">
        <f>SUBTOTAL(9,B8:B18)</f>
        <v>172</v>
      </c>
      <c r="C19" s="798">
        <f>SUBTOTAL(9,C8:C18)</f>
        <v>116</v>
      </c>
      <c r="D19" s="799">
        <f>SUBTOTAL(9,D8:D18)</f>
        <v>3453</v>
      </c>
    </row>
    <row r="20" spans="1:4" ht="7.5" customHeight="1"/>
    <row r="21" spans="1:4" ht="6" customHeight="1"/>
    <row r="22" spans="1:4">
      <c r="A22" s="390" t="str">
        <f>Criterios!A4</f>
        <v>Fecha Informe: 17 mar. 2026</v>
      </c>
    </row>
    <row r="27" spans="1:4">
      <c r="A27" s="413"/>
    </row>
  </sheetData>
  <sheetProtection algorithmName="SHA-512" hashValue="QfbrSi8c2J3hog16BMBLCFLAvKeGPhrB0XYu+4pXDA+SfF15Ab57dd10LSl/Qa6on42xjE8/0UCSKWoohYklKQ==" saltValue="ZlYHHTwjavMswav7vKUo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GÜIMAR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0.27871010200723922</v>
      </c>
      <c r="C12" s="455">
        <f>IF(ISNUMBER(
   IF(J_V="SI",(Datos!J12-Datos!T12)/Datos!T12,(Datos!J12+Datos!Z12-(Datos!T12+Datos!AH12))/(Datos!T12+Datos!AH12))
     ),IF(J_V="SI",(Datos!J12-Datos!T12)/Datos!T12,(Datos!J12+Datos!Z12-(Datos!T12+Datos!AH12))/(Datos!T12+Datos!AH12))," - ")</f>
        <v>-0.30419075144508673</v>
      </c>
      <c r="D12" s="455">
        <f>IF(ISNUMBER(
   IF(J_V="SI",(Datos!K12-Datos!U12)/Datos!U12,(Datos!K12+Datos!AA12-(Datos!U12+Datos!AI12))/(Datos!U12+Datos!AI12))
     ),IF(J_V="SI",(Datos!K12-Datos!U12)/Datos!U12,(Datos!K12+Datos!AA12-(Datos!U12+Datos!AI12))/(Datos!U12+Datos!AI12))," - ")</f>
        <v>-0.3888888888888889</v>
      </c>
      <c r="E12" s="455">
        <f>IF(ISNUMBER(
   IF(J_V="SI",(Datos!L12-Datos!V12)/Datos!V12,(Datos!L12+Datos!AB12-(Datos!V12+Datos!AJ12))/(Datos!V12+Datos!AJ12))
     ),IF(J_V="SI",(Datos!L12-Datos!V12)/Datos!V12,(Datos!L12+Datos!AB12-(Datos!V12+Datos!AJ12))/(Datos!V12+Datos!AJ12))," - ")</f>
        <v>0.24962808687890509</v>
      </c>
      <c r="F12" s="455">
        <f>IF(ISNUMBER((Datos!M12-Datos!W12)/Datos!W12),(Datos!M12-Datos!W12)/Datos!W12," - ")</f>
        <v>-0.574025974025974</v>
      </c>
      <c r="G12" s="456">
        <f>IF(ISNUMBER((Datos!N12-Datos!X12)/Datos!X12),(Datos!N12-Datos!X12)/Datos!X12," - ")</f>
        <v>-0.31623931623931623</v>
      </c>
      <c r="H12" s="454">
        <f>IF(ISNUMBER(((NºAsuntos!G12/NºAsuntos!E12)-Datos!BD12)/Datos!BD12),((NºAsuntos!G12/NºAsuntos!E12)-Datos!BD12)/Datos!BD12," - ")</f>
        <v>-0.12172608745817469</v>
      </c>
      <c r="I12" s="455">
        <f>IF(ISNUMBER(((NºAsuntos!I12/NºAsuntos!G12)-Datos!BE12)/Datos!BE12),((NºAsuntos!I12/NºAsuntos!G12)-Datos!BE12)/Datos!BE12," - ")</f>
        <v>1.0448459603472993</v>
      </c>
      <c r="J12" s="460">
        <f>IF(ISNUMBER((('Resol  Asuntos'!D12/NºAsuntos!G12)-Datos!BF12)/Datos!BF12),(('Resol  Asuntos'!D12/NºAsuntos!G12)-Datos!BF12)/Datos!BF12," - ")</f>
        <v>-0.23543123543123542</v>
      </c>
      <c r="K12" s="461">
        <f>IF(ISNUMBER((((NºAsuntos!C12+NºAsuntos!E12)/NºAsuntos!G12)-Datos!BG12)/Datos!BG12),(((NºAsuntos!C12+NºAsuntos!E12)/NºAsuntos!G12)-Datos!BG12)/Datos!BG12," - ")</f>
        <v>0.79396953939119919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0.27828947368421053</v>
      </c>
      <c r="C13" s="854">
        <f>IF(ISNUMBER(
   IF(J_V="SI",(Datos!J13-Datos!T13)/Datos!T13,(Datos!J13+Datos!Z13-(Datos!T13+Datos!AH13))/(Datos!T13+Datos!AH13))
     ),IF(J_V="SI",(Datos!J13-Datos!T13)/Datos!T13,(Datos!J13+Datos!Z13-(Datos!T13+Datos!AH13))/(Datos!T13+Datos!AH13))," - ")</f>
        <v>-0.30419075144508673</v>
      </c>
      <c r="D13" s="854">
        <f>IF(ISNUMBER(
   IF(J_V="SI",(Datos!K13-Datos!U13)/Datos!U13,(Datos!K13+Datos!AA13-(Datos!U13+Datos!AI13))/(Datos!U13+Datos!AI13))
     ),IF(J_V="SI",(Datos!K13-Datos!U13)/Datos!U13,(Datos!K13+Datos!AA13-(Datos!U13+Datos!AI13))/(Datos!U13+Datos!AI13))," - ")</f>
        <v>-0.38946378174976481</v>
      </c>
      <c r="E13" s="854">
        <f>IF(ISNUMBER(
   IF(J_V="SI",(Datos!L13-Datos!V13)/Datos!V13,(Datos!L13+Datos!AB13-(Datos!V13+Datos!AJ13))/(Datos!V13+Datos!AJ13))
     ),IF(J_V="SI",(Datos!L13-Datos!V13)/Datos!V13,(Datos!L13+Datos!AB13-(Datos!V13+Datos!AJ13))/(Datos!V13+Datos!AJ13))," - ")</f>
        <v>0.24962808687890509</v>
      </c>
      <c r="F13" s="855">
        <f>IF(ISNUMBER((Datos!M13-Datos!W13)/Datos!W13),(Datos!M13-Datos!W13)/Datos!W13," - ")</f>
        <v>-0.57512953367875652</v>
      </c>
      <c r="G13" s="856">
        <f>IF(ISNUMBER((Datos!N13-Datos!X13)/Datos!X13),(Datos!N13-Datos!X13)/Datos!X13," - ")</f>
        <v>-0.31623931623931623</v>
      </c>
      <c r="H13" s="856">
        <f>IF(ISNUMBER(((NºAsuntos!G13/NºAsuntos!E13)-Datos!BD13)/Datos!BD13),((NºAsuntos!G13/NºAsuntos!E13)-Datos!BD13)/Datos!BD13," - ")</f>
        <v>-0.12255230938907008</v>
      </c>
      <c r="I13" s="856">
        <f>IF(ISNUMBER(((NºAsuntos!I13/NºAsuntos!G13)-Datos!BE13)/Datos!BE13),((NºAsuntos!I13/NºAsuntos!G13)-Datos!BE13)/Datos!BE13," - ")</f>
        <v>1.046771427353276</v>
      </c>
      <c r="J13" s="856">
        <f>IF(ISNUMBER((('Resol  Asuntos'!D13/NºAsuntos!G13)-Datos!BF13)/Datos!BF13),(('Resol  Asuntos'!D13/NºAsuntos!G13)-Datos!BF13)/Datos!BF13," - ")</f>
        <v>-0.23688541812578798</v>
      </c>
      <c r="K13" s="856">
        <f>IF(ISNUMBER((((NºAsuntos!C13+NºAsuntos!E13)/NºAsuntos!G13)-Datos!BG13)/Datos!BG13),(((NºAsuntos!C13+NºAsuntos!E13)/NºAsuntos!G13)-Datos!BG13)/Datos!BG13," - ")</f>
        <v>0.7952528859254886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0.29764065335753176</v>
      </c>
      <c r="C16" s="455">
        <f>IF(ISNUMBER(
   IF(D_I="SI",(Datos!J16-Datos!T16)/Datos!T16,(Datos!J16+Datos!AD16-(Datos!T16+Datos!AL16))/(Datos!T16+Datos!AL16))
     ),IF(D_I="SI",(Datos!J16-Datos!T16)/Datos!T16,(Datos!J16+Datos!AD16-(Datos!T16+Datos!AL16))/(Datos!T16+Datos!AL16))," - ")</f>
        <v>-0.16685714285714287</v>
      </c>
      <c r="D16" s="455">
        <f>IF(ISNUMBER(
   IF(D_I="SI",(Datos!K16-Datos!U16)/Datos!U16,(Datos!K16+Datos!AE16-(Datos!U16+Datos!AM16))/(Datos!U16+Datos!AM16))
     ),IF(D_I="SI",(Datos!K16-Datos!U16)/Datos!U16,(Datos!K16+Datos!AE16-(Datos!U16+Datos!AM16))/(Datos!U16+Datos!AM16))," - ")</f>
        <v>-0.18395061728395062</v>
      </c>
      <c r="E16" s="455">
        <f>IF(ISNUMBER(
   IF(D_I="SI",(Datos!L16-Datos!V16)/Datos!V16,(Datos!L16+Datos!AF16-(Datos!V16+Datos!AN16))/(Datos!V16+Datos!AN16))
     ),IF(D_I="SI",(Datos!L16-Datos!V16)/Datos!V16,(Datos!L16+Datos!AF16-(Datos!V16+Datos!AN16))/(Datos!V16+Datos!AN16))," - ")</f>
        <v>0.24681528662420382</v>
      </c>
      <c r="F16" s="455">
        <f>IF(ISNUMBER((Datos!M16-Datos!W16)/Datos!W16),(Datos!M16-Datos!W16)/Datos!W16," - ")</f>
        <v>4.1237113402061855E-2</v>
      </c>
      <c r="G16" s="456">
        <f>IF(ISNUMBER((Datos!N16-Datos!X16)/Datos!X16),(Datos!N16-Datos!X16)/Datos!X16," - ")</f>
        <v>-0.21617161716171618</v>
      </c>
      <c r="H16" s="454">
        <f>IF(ISNUMBER(((NºAsuntos!G16/NºAsuntos!E16)-Datos!BD16)/Datos!BD16),((NºAsuntos!G16/NºAsuntos!E16)-Datos!BD16)/Datos!BD16," - ")</f>
        <v>-2.0516858879913231E-2</v>
      </c>
      <c r="I16" s="455">
        <f>IF(ISNUMBER(((NºAsuntos!I16/NºAsuntos!G16)-Datos!BE16)/Datos!BE16),((NºAsuntos!I16/NºAsuntos!G16)-Datos!BE16)/Datos!BE16," - ")</f>
        <v>0.52786744654403184</v>
      </c>
      <c r="J16" s="460">
        <f>IF(ISNUMBER((('Resol  Asuntos'!D16/NºAsuntos!G16)-Datos!BF16)/Datos!BF16),(('Resol  Asuntos'!D16/NºAsuntos!G16)-Datos!BF16)/Datos!BF16," - ")</f>
        <v>0.27594865636258709</v>
      </c>
      <c r="K16" s="461">
        <f>IF(ISNUMBER((((NºAsuntos!C16+NºAsuntos!E16)/NºAsuntos!G16)-Datos!BG16)/Datos!BG16),(((NºAsuntos!C16+NºAsuntos!E16)/NºAsuntos!G16)-Datos!BG16)/Datos!BG16," - ")</f>
        <v>0.24088412091840963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0.2767857142857143</v>
      </c>
      <c r="C18" s="854">
        <f>IF(ISNUMBER(
   IF(Criterios!B14="SI",(Datos!J18-Datos!T18)/Datos!T18,(Datos!J18+Datos!AD18-(Datos!T18+Datos!AL18))/(Datos!T18+Datos!AL18))
     ),IF(Criterios!B14="SI",(Datos!J18-Datos!T18)/Datos!T18,(Datos!J18+Datos!AD18-(Datos!T18+Datos!AL18))/(Datos!T18+Datos!AL18))," - ")</f>
        <v>-0.1678082191780822</v>
      </c>
      <c r="D18" s="854">
        <f>IF(ISNUMBER(
   IF(Criterios!B14="SI",(Datos!K18-Datos!U18)/Datos!U18,(Datos!K18+Datos!AE18-(Datos!U18+Datos!AM18))/(Datos!U18+Datos!AM18))
     ),IF(Criterios!B14="SI",(Datos!K18-Datos!U18)/Datos!U18,(Datos!K18+Datos!AE18-(Datos!U18+Datos!AM18))/(Datos!U18+Datos!AM18))," - ")</f>
        <v>-0.19094247246022031</v>
      </c>
      <c r="E18" s="854">
        <f>IF(ISNUMBER(
   IF(Criterios!B14="SI",(Datos!L18-Datos!V18)/Datos!V18,(Datos!L18+Datos!AF18-(Datos!V18+Datos!AN18))/(Datos!V18+Datos!AN18))
     ),IF(Criterios!B14="SI",(Datos!L18-Datos!V18)/Datos!V18,(Datos!L18+Datos!AF18-(Datos!V18+Datos!AN18))/(Datos!V18+Datos!AN18))," - ")</f>
        <v>0.24088748019017434</v>
      </c>
      <c r="F18" s="855">
        <f>IF(ISNUMBER((Datos!M18-Datos!W18)/Datos!W18),(Datos!M18-Datos!W18)/Datos!W18," - ")</f>
        <v>4.1237113402061855E-2</v>
      </c>
      <c r="G18" s="856">
        <f>IF(ISNUMBER((Datos!N18-Datos!X18)/Datos!X18),(Datos!N18-Datos!X18)/Datos!X18," - ")</f>
        <v>-0.21617161716171618</v>
      </c>
      <c r="H18" s="856">
        <f>IF(ISNUMBER(((NºAsuntos!G18/NºAsuntos!E18)-Datos!BD18)/Datos!BD18),((NºAsuntos!G18/NºAsuntos!E18)-Datos!BD18)/Datos!BD18," - ")</f>
        <v>-2.7799185013927228E-2</v>
      </c>
      <c r="I18" s="856">
        <f>IF(ISNUMBER(((NºAsuntos!I18/NºAsuntos!G18)-Datos!BE18)/Datos!BE18),((NºAsuntos!I18/NºAsuntos!G18)-Datos!BE18)/Datos!BE18," - ")</f>
        <v>0.53374443466773436</v>
      </c>
      <c r="J18" s="856">
        <f>IF(ISNUMBER((('Resol  Asuntos'!D18/NºAsuntos!G18)-Datos!BF18)/Datos!BF18),(('Resol  Asuntos'!D18/NºAsuntos!G18)-Datos!BF18)/Datos!BF18," - ")</f>
        <v>0.28697537314596755</v>
      </c>
      <c r="K18" s="856">
        <f>IF(ISNUMBER((((NºAsuntos!C18+NºAsuntos!E18)/NºAsuntos!G18)-Datos!BG18)/Datos!BG18),(((NºAsuntos!C18+NºAsuntos!E18)/NºAsuntos!G18)-Datos!BG18)/Datos!BG18," - ")</f>
        <v>0.2428918790218248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0.27805555555555556</v>
      </c>
      <c r="C19" s="801">
        <f>IF(ISNUMBER(
   IF(J_V="SI",(Datos!J19-Datos!T19)/Datos!T19,(Datos!J19+Datos!Z19-(Datos!T19+Datos!AH19))/(Datos!T19+Datos!AH19))
     ),IF(J_V="SI",(Datos!J19-Datos!T19)/Datos!T19,(Datos!J19+Datos!Z19-(Datos!T19+Datos!AH19))/(Datos!T19+Datos!AH19))," - ")</f>
        <v>-0.25132743362831861</v>
      </c>
      <c r="D19" s="801">
        <f>IF(ISNUMBER(
   IF(J_V="SI",(Datos!K19-Datos!U19)/Datos!U19,(Datos!K19+Datos!AA19-(Datos!U19+Datos!AI19))/(Datos!U19+Datos!AI19))
     ),IF(J_V="SI",(Datos!K19-Datos!U19)/Datos!U19,(Datos!K19+Datos!AA19-(Datos!U19+Datos!AI19))/(Datos!U19+Datos!AI19))," - ")</f>
        <v>-0.30319148936170215</v>
      </c>
      <c r="E19" s="801">
        <f>IF(ISNUMBER(
   IF(J_V="SI",(Datos!L19-Datos!V19)/Datos!V19,(Datos!L19+Datos!AB19-(Datos!V19+Datos!AJ19))/(Datos!V19+Datos!AJ19))
     ),IF(J_V="SI",(Datos!L19-Datos!V19)/Datos!V19,(Datos!L19+Datos!AB19-(Datos!V19+Datos!AJ19))/(Datos!V19+Datos!AJ19))," - ")</f>
        <v>0.24824649298597196</v>
      </c>
      <c r="F19" s="802">
        <f>IF(ISNUMBER((Datos!M19-Datos!W19)/Datos!W19),(Datos!M19-Datos!W19)/Datos!W19," - ")</f>
        <v>-0.45134575569358176</v>
      </c>
      <c r="G19" s="803">
        <f>IF(ISNUMBER((Datos!N19-Datos!X19)/Datos!X19),(Datos!N19-Datos!X19)/Datos!X19," - ")</f>
        <v>-0.25287356321839083</v>
      </c>
      <c r="H19" s="804">
        <f>IF(ISNUMBER((Tasas!B19-Datos!BD19)/Datos!BD19),(Tasas!B19-Datos!BD19)/Datos!BD19," - ")</f>
        <v>-6.9274684372013492E-2</v>
      </c>
      <c r="I19" s="805">
        <f>IF(ISNUMBER((Tasas!C19-Datos!BE19)/Datos!BE19),(Tasas!C19-Datos!BE19)/Datos!BE19," - ")</f>
        <v>0.7913766464226164</v>
      </c>
      <c r="J19" s="806">
        <f>IF(ISNUMBER((Tasas!D19-Datos!BF19)/Datos!BF19),(Tasas!D19-Datos!BF19)/Datos!BF19," - ")</f>
        <v>-0.15299478059810603</v>
      </c>
      <c r="K19" s="806">
        <f>IF(ISNUMBER((Tasas!E19-Datos!BG19)/Datos!BG19),(Tasas!E19-Datos!BG19)/Datos!BG19," - ")</f>
        <v>0.54115624104421234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5ncewg8tffQCAP9d5D1PgtOiaZhnMHeZXUNjhX1nWWazcjVosQQdJu2ssMouSxYWPaIH3J47FcS0d2A65Tghw==" saltValue="nn+thUN8QpS8Tjq1jn7y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GÜIMAR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0.67393561786085154</v>
      </c>
      <c r="C12" s="442">
        <f>IF(ISNUMBER(NºAsuntos!I12/NºAsuntos!G12),NºAsuntos!I12/NºAsuntos!G12," - ")</f>
        <v>6.4714946070878279</v>
      </c>
      <c r="D12" s="443">
        <f>IF(ISNUMBER('Resol  Asuntos'!D12/NºAsuntos!G12),'Resol  Asuntos'!D12/NºAsuntos!G12," - ")</f>
        <v>0.2526964560862866</v>
      </c>
      <c r="E12" s="444">
        <f>IF(ISNUMBER((NºAsuntos!C12+NºAsuntos!E12)/NºAsuntos!G12),(NºAsuntos!C12+NºAsuntos!E12)/NºAsuntos!G12," - ")</f>
        <v>7.4714946070878279</v>
      </c>
      <c r="G12" s="462"/>
    </row>
    <row r="13" spans="1:7" ht="14.25" thickTop="1" thickBot="1">
      <c r="A13" s="847" t="str">
        <f>Datos!A13</f>
        <v>TOTAL</v>
      </c>
      <c r="B13" s="857">
        <f>IF(ISNUMBER(NºAsuntos!G13/NºAsuntos!E13),NºAsuntos!G13/NºAsuntos!E13," - ")</f>
        <v>0.67393561786085154</v>
      </c>
      <c r="C13" s="858">
        <f>IF(ISNUMBER(NºAsuntos!I13/NºAsuntos!G13),NºAsuntos!I13/NºAsuntos!G13," - ")</f>
        <v>6.4714946070878279</v>
      </c>
      <c r="D13" s="859">
        <f>IF(ISNUMBER('Resol  Asuntos'!D13/NºAsuntos!G13),'Resol  Asuntos'!D13/NºAsuntos!G13," - ")</f>
        <v>0.2526964560862866</v>
      </c>
      <c r="E13" s="860">
        <f>IF(ISNUMBER((NºAsuntos!C13+NºAsuntos!E13)/NºAsuntos!G13),(NºAsuntos!C13+NºAsuntos!E13)/NºAsuntos!G13," - ")</f>
        <v>7.4714946070878279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0.90672153635116604</v>
      </c>
      <c r="C16" s="442">
        <f>IF(ISNUMBER(NºAsuntos!I16/NºAsuntos!G16),NºAsuntos!I16/NºAsuntos!G16," - ")</f>
        <v>1.1845688350983359</v>
      </c>
      <c r="D16" s="443">
        <f>IF(ISNUMBER('Resol  Asuntos'!D16/NºAsuntos!G16),'Resol  Asuntos'!D16/NºAsuntos!G16," - ")</f>
        <v>0.15279878971255673</v>
      </c>
      <c r="E16" s="444">
        <f>IF(ISNUMBER((NºAsuntos!C16+NºAsuntos!E16)/NºAsuntos!G16),(NºAsuntos!C16+NºAsuntos!E16)/NºAsuntos!G16," - ")</f>
        <v>2.1845688350983359</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0.90672153635116604</v>
      </c>
      <c r="C18" s="858">
        <f>IF(ISNUMBER(NºAsuntos!I18/NºAsuntos!G18),NºAsuntos!I18/NºAsuntos!G18," - ")</f>
        <v>1.1845688350983359</v>
      </c>
      <c r="D18" s="861">
        <f>IF(ISNUMBER('Resol  Asuntos'!D18/NºAsuntos!G18),'Resol  Asuntos'!D18/NºAsuntos!G18," - ")</f>
        <v>0.15279878971255673</v>
      </c>
      <c r="E18" s="860">
        <f>IF(ISNUMBER((NºAsuntos!C18+NºAsuntos!E18)/NºAsuntos!G18),(NºAsuntos!C18+NºAsuntos!E18)/NºAsuntos!G18," - ")</f>
        <v>2.1845688350983359</v>
      </c>
      <c r="G18" s="462"/>
    </row>
    <row r="19" spans="1:7" ht="15.75" customHeight="1" thickTop="1" thickBot="1">
      <c r="A19" s="792" t="str">
        <f>Datos!A19</f>
        <v>TOTAL JURISDICCIONES</v>
      </c>
      <c r="B19" s="807">
        <f>IF(ISNUMBER(NºAsuntos!G19/NºAsuntos!E19),NºAsuntos!G19/NºAsuntos!E19," - ")</f>
        <v>0.77423167848699759</v>
      </c>
      <c r="C19" s="808">
        <f>IF(ISNUMBER(NºAsuntos!I19/NºAsuntos!G19),NºAsuntos!I19/NºAsuntos!G19," - ")</f>
        <v>3.8038167938931298</v>
      </c>
      <c r="D19" s="809">
        <f>IF(ISNUMBER('Resol  Asuntos'!D19/NºAsuntos!G19),'Resol  Asuntos'!D19/NºAsuntos!G19," - ")</f>
        <v>0.20229007633587787</v>
      </c>
      <c r="E19" s="810">
        <f>IF(ISNUMBER((NºAsuntos!C19+NºAsuntos!E19)/NºAsuntos!G19),(NºAsuntos!C19+NºAsuntos!E19)/NºAsuntos!G19," - ")</f>
        <v>4.8038167938931302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em6WuwjVU7rKBMW70qPZCMUhy05RzzcOTQGu7gPf2gERHbVOgKMMm0iwUeF6XeJ+MipdwDNi0zBp/RxIqC8BQ==" saltValue="fRaYdqhpLqxs54ZlbFeI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GÜIMAR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102</v>
      </c>
      <c r="Y12" s="333">
        <f t="shared" si="0"/>
        <v>102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3245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164</v>
      </c>
      <c r="AJ12" s="228" t="str">
        <f>IF(ISNUMBER(Datos!BW12),Datos!BW12," - ")</f>
        <v xml:space="preserve"> - </v>
      </c>
      <c r="AK12" s="227" t="str">
        <f>IF(ISNUMBER(Datos!BX12),Datos!BX12," - ")</f>
        <v xml:space="preserve"> - </v>
      </c>
      <c r="AL12" s="242">
        <f>IF(ISNUMBER(NºAsuntos!G12/NºAsuntos!E12),NºAsuntos!G12/NºAsuntos!E12," - ")</f>
        <v>0.67393561786085154</v>
      </c>
      <c r="AM12" s="259">
        <f>IF(ISNUMBER(((NºAsuntos!I12/NºAsuntos!G12)*11)/factor_trimestre),((NºAsuntos!I12/NºAsuntos!G12)*11)/factor_trimestre," - ")</f>
        <v>19.414483821263484</v>
      </c>
      <c r="AN12" s="243">
        <f>IF(ISNUMBER('Resol  Asuntos'!D12/NºAsuntos!G12),'Resol  Asuntos'!D12/NºAsuntos!G12," - ")</f>
        <v>0.2526964560862866</v>
      </c>
      <c r="AO12" s="244">
        <f>IF(ISNUMBER((NºAsuntos!C12+NºAsuntos!E12)/NºAsuntos!G12),(NºAsuntos!C12+NºAsuntos!E12)/NºAsuntos!G12," - ")</f>
        <v>7.4714946070878279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132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102</v>
      </c>
      <c r="Y13" s="867">
        <f t="shared" si="4"/>
        <v>102</v>
      </c>
      <c r="Z13" s="867">
        <f t="shared" si="4"/>
        <v>0</v>
      </c>
      <c r="AA13" s="867">
        <f t="shared" si="4"/>
        <v>0</v>
      </c>
      <c r="AB13" s="867">
        <f t="shared" si="4"/>
        <v>3245</v>
      </c>
      <c r="AC13" s="867">
        <f t="shared" si="4"/>
        <v>0</v>
      </c>
      <c r="AD13" s="867">
        <f t="shared" si="4"/>
        <v>0</v>
      </c>
      <c r="AE13" s="871">
        <f t="shared" si="4"/>
        <v>0</v>
      </c>
      <c r="AF13" s="864">
        <f t="shared" si="4"/>
        <v>0</v>
      </c>
      <c r="AG13" s="872">
        <f t="shared" si="4"/>
        <v>0</v>
      </c>
      <c r="AH13" s="869">
        <f t="shared" si="4"/>
        <v>0</v>
      </c>
      <c r="AI13" s="864">
        <f t="shared" si="4"/>
        <v>164</v>
      </c>
      <c r="AJ13" s="866">
        <f t="shared" si="4"/>
        <v>0</v>
      </c>
      <c r="AK13" s="869">
        <f>SUBTOTAL(9,AK9:AK12)</f>
        <v>0</v>
      </c>
      <c r="AL13" s="873">
        <f>IF(ISNUMBER(NºAsuntos!G13/NºAsuntos!E13),NºAsuntos!G13/NºAsuntos!E13," - ")</f>
        <v>0.67393561786085154</v>
      </c>
      <c r="AM13" s="873">
        <f>IF(ISNUMBER(((NºAsuntos!I13/NºAsuntos!G13)*11)/factor_trimestre),((NºAsuntos!I13/NºAsuntos!G13)*11)/factor_trimestre," - ")</f>
        <v>19.414483821263484</v>
      </c>
      <c r="AN13" s="874">
        <f>IF(ISNUMBER('Resol  Asuntos'!D13/NºAsuntos!G13),'Resol  Asuntos'!D13/NºAsuntos!G13," - ")</f>
        <v>0.2526964560862866</v>
      </c>
      <c r="AO13" s="875">
        <f>IF(ISNUMBER((NºAsuntos!C13+NºAsuntos!E13)/NºAsuntos!G13),(NºAsuntos!C13+NºAsuntos!E13)/NºAsuntos!G13," - ")</f>
        <v>7.4714946070878279</v>
      </c>
      <c r="AP13" s="876" t="str">
        <f t="shared" si="2"/>
        <v xml:space="preserve"> - </v>
      </c>
      <c r="AQ13" s="876" t="str">
        <f>IF(ISNUMBER((H13-W13+K13)/(F13)),(H13-W13+K13)/(F13)," - ")</f>
        <v xml:space="preserve"> - </v>
      </c>
      <c r="AR13" s="877">
        <f>IF(ISNUMBER((Datos!P13-Datos!Q13)/(Datos!R13-Datos!P13+Datos!Q13)),(Datos!P13-Datos!Q13)/(Datos!R13-Datos!P13+Datos!Q13)," - ")</f>
        <v>9.3312597200622092E-3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715</v>
      </c>
      <c r="G16" s="332">
        <f>IF(ISNUMBER(IF(D_I="SI",Datos!I16,Datos!I16+Datos!AC16)),IF(D_I="SI",Datos!I16,Datos!I16+Datos!AC16)," - ")</f>
        <v>715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661</v>
      </c>
      <c r="X16" s="225">
        <f>IF(ISNUMBER(Datos!Q16),Datos!Q16," - ")</f>
        <v>14</v>
      </c>
      <c r="Y16" s="333">
        <f t="shared" ref="Y16:Y17" si="7">SUM(W16:X16)</f>
        <v>675</v>
      </c>
      <c r="Z16" s="334" t="str">
        <f>IF(ISNUMBER(Datos!CC16),Datos!CC16," - ")</f>
        <v xml:space="preserve"> - </v>
      </c>
      <c r="AA16" s="331">
        <f>IF(ISNUMBER(IF(D_I="SI",Datos!L16,Datos!L16+Datos!AF16)),IF(D_I="SI",Datos!L16,Datos!L16+Datos!AF16)," - ")</f>
        <v>783</v>
      </c>
      <c r="AB16" s="333">
        <f>IF(ISNUMBER(Datos!R16),Datos!R16," - ")</f>
        <v>208</v>
      </c>
      <c r="AC16" s="333">
        <f t="shared" si="6"/>
        <v>991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101</v>
      </c>
      <c r="AJ16" s="230" t="str">
        <f>IF(ISNUMBER(Datos!BW16),Datos!BW16," - ")</f>
        <v xml:space="preserve"> - </v>
      </c>
      <c r="AK16" s="231" t="str">
        <f>IF(ISNUMBER(Datos!BX16),Datos!BX16," - ")</f>
        <v xml:space="preserve"> - </v>
      </c>
      <c r="AL16" s="242">
        <f>IF(ISNUMBER(NºAsuntos!G16/NºAsuntos!E16),NºAsuntos!G16/NºAsuntos!E16," - ")</f>
        <v>0.90672153635116604</v>
      </c>
      <c r="AM16" s="259">
        <f>IF(ISNUMBER(((NºAsuntos!I16/NºAsuntos!G16)*11)/factor_trimestre),((NºAsuntos!I16/NºAsuntos!G16)*11)/factor_trimestre," - ")</f>
        <v>3.5537065052950076</v>
      </c>
      <c r="AN16" s="243">
        <f>IF(ISNUMBER('Resol  Asuntos'!D16/NºAsuntos!G16),'Resol  Asuntos'!D16/NºAsuntos!G16," - ")</f>
        <v>0.15279878971255673</v>
      </c>
      <c r="AO16" s="244">
        <f>IF(ISNUMBER((NºAsuntos!C16+NºAsuntos!E16)/NºAsuntos!G16),(NºAsuntos!C16+NºAsuntos!E16)/NºAsuntos!G16," - ")</f>
        <v>2.1845688350983359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0</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715</v>
      </c>
      <c r="G18" s="865">
        <f>SUBTOTAL(9,G15:G17)</f>
        <v>715</v>
      </c>
      <c r="H18" s="864">
        <f t="shared" ref="H18:O18" si="10">SUBTOTAL(9,H14:H17)</f>
        <v>0</v>
      </c>
      <c r="I18" s="866">
        <f t="shared" si="10"/>
        <v>0</v>
      </c>
      <c r="J18" s="866">
        <f t="shared" si="10"/>
        <v>0</v>
      </c>
      <c r="K18" s="866">
        <f t="shared" si="10"/>
        <v>0</v>
      </c>
      <c r="L18" s="866">
        <f t="shared" si="10"/>
        <v>40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661</v>
      </c>
      <c r="X18" s="866">
        <f t="shared" si="11"/>
        <v>14</v>
      </c>
      <c r="Y18" s="867">
        <f t="shared" si="11"/>
        <v>675</v>
      </c>
      <c r="Z18" s="867">
        <f t="shared" si="11"/>
        <v>0</v>
      </c>
      <c r="AA18" s="867">
        <f t="shared" si="11"/>
        <v>783</v>
      </c>
      <c r="AB18" s="867">
        <f t="shared" si="11"/>
        <v>208</v>
      </c>
      <c r="AC18" s="867">
        <f t="shared" si="11"/>
        <v>991</v>
      </c>
      <c r="AD18" s="867">
        <f t="shared" si="11"/>
        <v>0</v>
      </c>
      <c r="AE18" s="871">
        <f t="shared" si="11"/>
        <v>0</v>
      </c>
      <c r="AF18" s="864">
        <f t="shared" si="11"/>
        <v>0</v>
      </c>
      <c r="AG18" s="872">
        <f t="shared" si="11"/>
        <v>0</v>
      </c>
      <c r="AH18" s="869">
        <f t="shared" si="11"/>
        <v>0</v>
      </c>
      <c r="AI18" s="864">
        <f t="shared" si="11"/>
        <v>101</v>
      </c>
      <c r="AJ18" s="866">
        <f t="shared" si="11"/>
        <v>0</v>
      </c>
      <c r="AK18" s="869">
        <f t="shared" si="11"/>
        <v>0</v>
      </c>
      <c r="AL18" s="873">
        <f>IF(ISNUMBER(NºAsuntos!G18/NºAsuntos!E18),NºAsuntos!G18/NºAsuntos!E18," - ")</f>
        <v>0.90672153635116604</v>
      </c>
      <c r="AM18" s="873">
        <f>IF(ISNUMBER(((NºAsuntos!I18/NºAsuntos!G18)*11)/factor_trimestre),((NºAsuntos!I18/NºAsuntos!G18)*11)/factor_trimestre," - ")</f>
        <v>3.5537065052950076</v>
      </c>
      <c r="AN18" s="874">
        <f>IF(ISNUMBER('Resol  Asuntos'!D18/NºAsuntos!G18),'Resol  Asuntos'!D18/NºAsuntos!G18," - ")</f>
        <v>0.15279878971255673</v>
      </c>
      <c r="AO18" s="875">
        <f>IF(ISNUMBER((NºAsuntos!C18+NºAsuntos!E18)/NºAsuntos!G18),(NºAsuntos!C18+NºAsuntos!E18)/NºAsuntos!G18," - ")</f>
        <v>2.1845688350983359</v>
      </c>
      <c r="AP18" s="876" t="str">
        <f t="shared" si="2"/>
        <v xml:space="preserve"> - </v>
      </c>
      <c r="AQ18" s="876">
        <f>IF(ISNUMBER((H18-W18+K18)/(F18)),(H18-W18+K18)/(F18)," - ")</f>
        <v>-0.9244755244755245</v>
      </c>
      <c r="AR18" s="877">
        <f>IF(ISNUMBER((Datos!P18-Datos!Q18)/(Datos!R18-Datos!P18+Datos!Q18)),(Datos!P18-Datos!Q18)/(Datos!R18-Datos!P18+Datos!Q18)," - ")</f>
        <v>0.14285714285714285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715</v>
      </c>
      <c r="G19" s="820">
        <f t="shared" si="13"/>
        <v>715</v>
      </c>
      <c r="H19" s="819">
        <f t="shared" si="13"/>
        <v>0</v>
      </c>
      <c r="I19" s="821">
        <f t="shared" si="13"/>
        <v>0</v>
      </c>
      <c r="J19" s="821">
        <f t="shared" si="13"/>
        <v>0</v>
      </c>
      <c r="K19" s="880">
        <f t="shared" si="13"/>
        <v>0</v>
      </c>
      <c r="L19" s="821">
        <f t="shared" si="13"/>
        <v>172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661</v>
      </c>
      <c r="X19" s="820">
        <f t="shared" si="14"/>
        <v>116</v>
      </c>
      <c r="Y19" s="827">
        <f t="shared" si="14"/>
        <v>777</v>
      </c>
      <c r="Z19" s="827">
        <f t="shared" si="14"/>
        <v>0</v>
      </c>
      <c r="AA19" s="827">
        <f t="shared" si="14"/>
        <v>783</v>
      </c>
      <c r="AB19" s="827">
        <f t="shared" si="14"/>
        <v>3453</v>
      </c>
      <c r="AC19" s="827">
        <f t="shared" si="14"/>
        <v>991</v>
      </c>
      <c r="AD19" s="827">
        <f t="shared" si="14"/>
        <v>0</v>
      </c>
      <c r="AE19" s="829">
        <f t="shared" si="14"/>
        <v>0</v>
      </c>
      <c r="AF19" s="830">
        <f t="shared" si="14"/>
        <v>0</v>
      </c>
      <c r="AG19" s="831">
        <f t="shared" si="14"/>
        <v>0</v>
      </c>
      <c r="AH19" s="829">
        <f t="shared" si="14"/>
        <v>0</v>
      </c>
      <c r="AI19" s="819">
        <f t="shared" si="14"/>
        <v>265</v>
      </c>
      <c r="AJ19" s="819">
        <f t="shared" si="14"/>
        <v>0</v>
      </c>
      <c r="AK19" s="829">
        <f t="shared" si="14"/>
        <v>0</v>
      </c>
      <c r="AL19" s="883">
        <f>IF(ISNUMBER(NºAsuntos!G19/NºAsuntos!E19),NºAsuntos!G19/NºAsuntos!E19," - ")</f>
        <v>0.77423167848699759</v>
      </c>
      <c r="AM19" s="884">
        <f>IF(ISNUMBER(((NºAsuntos!I19/NºAsuntos!G19)*11)/factor_trimestre),((NºAsuntos!I19/NºAsuntos!G19)*11)/factor_trimestre," - ")</f>
        <v>11.411450381679391</v>
      </c>
      <c r="AN19" s="884">
        <f>IF(ISNUMBER('Resol  Asuntos'!D19/NºAsuntos!G19),'Resol  Asuntos'!D19/NºAsuntos!G19," - ")</f>
        <v>0.20229007633587787</v>
      </c>
      <c r="AO19" s="885">
        <f>IF(ISNUMBER((NºAsuntos!C19+NºAsuntos!E19)/NºAsuntos!G19),(NºAsuntos!C19+NºAsuntos!E19)/NºAsuntos!G19," - ")</f>
        <v>4.8038167938931302</v>
      </c>
      <c r="AP19" s="886" t="str">
        <f t="shared" si="2"/>
        <v xml:space="preserve"> - </v>
      </c>
      <c r="AQ19" s="887">
        <f>IF(OR(ISNUMBER(FIND("01",Criterios!A8,1)),ISNUMBER(FIND("02",Criterios!A8,1)),ISNUMBER(FIND("03",Criterios!A8,1)),ISNUMBER(FIND("04",Criterios!A8,1))),(I19-W19+K19)/(F19-K19),(H19-W19+K19)/(F19-K19))</f>
        <v>-0.9244755244755245</v>
      </c>
      <c r="AR19" s="888">
        <f>IF(ISNUMBER((Datos!P19-Datos!Q19)/(Datos!R19-Datos!P19+Datos!Q19)),(Datos!P19-Datos!Q19)/(Datos!R19-Datos!P19+Datos!Q19)," - ")</f>
        <v>1.6485133941713276E-2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412.80544247058242</v>
      </c>
      <c r="G21" s="252">
        <f>IF(ISNUMBER(STDEV(G8:G18)),STDEV(G8:G18),"-")</f>
        <v>391.62162861619379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362.04461051091477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73.996396308649167</v>
      </c>
      <c r="AJ21" s="251">
        <f t="shared" si="18"/>
        <v>0</v>
      </c>
      <c r="AK21" s="253">
        <f t="shared" si="18"/>
        <v>0</v>
      </c>
      <c r="AL21" s="248">
        <f t="shared" si="18"/>
        <v>0.13439901270393637</v>
      </c>
      <c r="AM21" s="249">
        <f t="shared" si="18"/>
        <v>9.1572240529311077</v>
      </c>
      <c r="AN21" s="249">
        <f t="shared" si="18"/>
        <v>5.7675944572288432E-2</v>
      </c>
      <c r="AO21" s="250">
        <f t="shared" si="18"/>
        <v>3.0524080176437032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oDfq+NIW02ljs9LYeZP5qql2+HrTAzA4jofYP/tDwWAJuN9q/5Fc1lHFouFAVgLNxPP+4dC2b0gSnc9Zh4kSQ==" saltValue="2DNbjMyLYyrsJ7z6n8KV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GÜIMAR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-0.574025974025974</v>
      </c>
      <c r="I12" s="349">
        <f>IF(ISNUMBER((Tasas!C12-Datos!BE12)/Datos!BE12),(Tasas!C12-Datos!BE12)/Datos!BE12," - ")</f>
        <v>1.0448459603472993</v>
      </c>
      <c r="J12" s="348">
        <f>IF(ISNUMBER((Tasas!D12-Datos!BF12)/Datos!BF12),(Tasas!D12-Datos!BF12)/Datos!BF12," - ")</f>
        <v>-0.23543123543123542</v>
      </c>
      <c r="K12" s="350">
        <f>IF(ISNUMBER((Tasas!E12-Datos!BG12)/Datos!BG12),(Tasas!E12-Datos!BG12)/Datos!BG12," - ")</f>
        <v>0.79396953939119919</v>
      </c>
      <c r="M12" t="e">
        <f>IF(Monitorios="SI",Datos!CE12,0)</f>
        <v>#REF!</v>
      </c>
      <c r="N12" t="e">
        <f>IF(Monitorios="SI",Datos!CF12,0)</f>
        <v>#REF!</v>
      </c>
      <c r="O12" t="e">
        <f>IF(Monitorios="SI",Datos!CG12,0)</f>
        <v>#REF!</v>
      </c>
      <c r="P12" t="e">
        <f>IF(Monitorios="SI",Datos!CH12,0)</f>
        <v>#REF!</v>
      </c>
      <c r="Q12">
        <f>IF(J_V="SI",0,Datos!AG12)</f>
        <v>39</v>
      </c>
      <c r="R12">
        <f>IF(J_V="SI",0,Datos!AH12)</f>
        <v>50</v>
      </c>
      <c r="S12">
        <f>IF(J_V="SI",0,Datos!AI12)</f>
        <v>49</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-0.57512953367875652</v>
      </c>
      <c r="I13" s="356">
        <f>IF(ISNUMBER((Tasas!C13-Datos!BE13)/Datos!BE13),(Tasas!C13-Datos!BE13)/Datos!BE13," - ")</f>
        <v>1.046771427353276</v>
      </c>
      <c r="J13" s="354">
        <f>IF(ISNUMBER((Tasas!D13-Datos!BF13)/Datos!BF13),(Tasas!D13-Datos!BF13)/Datos!BF13," - ")</f>
        <v>-0.23688541812578798</v>
      </c>
      <c r="K13" s="357">
        <f>IF(ISNUMBER((Tasas!E13-Datos!BG13)/Datos!BG13),(Tasas!E13-Datos!BG13)/Datos!BG13," - ")</f>
        <v>0.7952528859254886</v>
      </c>
      <c r="M13" t="e">
        <f>IF(Monitorios="SI",Datos!CE13,0)</f>
        <v>#REF!</v>
      </c>
      <c r="N13" t="e">
        <f>IF(Monitorios="SI",Datos!CF13,0)</f>
        <v>#REF!</v>
      </c>
      <c r="O13" t="e">
        <f>IF(Monitorios="SI",Datos!CG13,0)</f>
        <v>#REF!</v>
      </c>
      <c r="P13" t="e">
        <f>IF(Monitorios="SI",Datos!CH13,0)</f>
        <v>#REF!</v>
      </c>
      <c r="Q13">
        <f>IF(J_V="SI",0,Datos!AG13)</f>
        <v>39</v>
      </c>
      <c r="R13">
        <f>IF(J_V="SI",0,Datos!AH13)</f>
        <v>50</v>
      </c>
      <c r="S13">
        <f>IF(J_V="SI",0,Datos!AI13)</f>
        <v>49</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0.29764065335753176</v>
      </c>
      <c r="E16" s="347">
        <f>IF(ISNUMBER(
   IF(D_I="SI",(Datos!J16-Datos!T16)/Datos!T16,(Datos!J16+Datos!AD16-(Datos!T16+Datos!AL16))/(Datos!T16+Datos!AL16))
     ),IF(D_I="SI",(Datos!J16-Datos!T16)/Datos!T16,(Datos!J16+Datos!AD16-(Datos!T16+Datos!AL16))/(Datos!T16+Datos!AL16))," - ")</f>
        <v>-0.16685714285714287</v>
      </c>
      <c r="F16" s="347">
        <f>IF(ISNUMBER(
   IF(D_I="SI",(Datos!K16-Datos!U16)/Datos!U16,(Datos!K16+Datos!AE16-(Datos!U16+Datos!AM16))/(Datos!U16+Datos!AM16))
     ),IF(D_I="SI",(Datos!K16-Datos!U16)/Datos!U16,(Datos!K16+Datos!AE16-(Datos!U16+Datos!AM16))/(Datos!U16+Datos!AM16))," - ")</f>
        <v>-0.18395061728395062</v>
      </c>
      <c r="G16" s="348">
        <f>IF(ISNUMBER(
   IF(D_I="SI",(Datos!L16-Datos!V16)/Datos!V16,(Datos!L16+Datos!AF16-(Datos!V16+Datos!AN16))/(Datos!V16+Datos!AN16))
     ),IF(D_I="SI",(Datos!L16-Datos!V16)/Datos!V16,(Datos!L16+Datos!AF16-(Datos!V16+Datos!AN16))/(Datos!V16+Datos!AN16))," - ")</f>
        <v>0.24681528662420382</v>
      </c>
      <c r="H16" s="229">
        <f>IF(ISNUMBER((Datos!M16-Datos!W16)/Datos!W16),(Datos!M16-Datos!W16)/Datos!W16," - ")</f>
        <v>4.1237113402061855E-2</v>
      </c>
      <c r="I16" s="349">
        <f>IF(ISNUMBER((Tasas!C16-Datos!BE16)/Datos!BE16),(Tasas!C16-Datos!BE16)/Datos!BE16," - ")</f>
        <v>0.52786744654403184</v>
      </c>
      <c r="J16" s="348">
        <f>IF(ISNUMBER((Tasas!D16-Datos!BF16)/Datos!BF16),(Tasas!D16-Datos!BF16)/Datos!BF16," - ")</f>
        <v>0.27594865636258709</v>
      </c>
      <c r="K16" s="350">
        <f>IF(ISNUMBER((Tasas!E16-Datos!BG16)/Datos!BG16),(Tasas!E16-Datos!BG16)/Datos!BG16," - ")</f>
        <v>0.24088412091840963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0.2767857142857143</v>
      </c>
      <c r="E18" s="353">
        <f>IF(ISNUMBER(
   IF(D_I="SI",(Datos!J18-Datos!T18)/Datos!T18,(Datos!J18+Datos!AD18-(Datos!T18+Datos!AL18))/(Datos!T18+Datos!AL18))
     ),IF(D_I="SI",(Datos!J18-Datos!T18)/Datos!T18,(Datos!J18+Datos!AD18-(Datos!T18+Datos!AL18))/(Datos!T18+Datos!AL18))," - ")</f>
        <v>-0.1678082191780822</v>
      </c>
      <c r="F18" s="353">
        <f>IF(ISNUMBER(
   IF(D_I="SI",(Datos!K18-Datos!U18)/Datos!U18,(Datos!K18+Datos!AE18-(Datos!U18+Datos!AM18))/(Datos!U18+Datos!AM18))
     ),IF(D_I="SI",(Datos!K18-Datos!U18)/Datos!U18,(Datos!K18+Datos!AE18-(Datos!U18+Datos!AM18))/(Datos!U18+Datos!AM18))," - ")</f>
        <v>-0.19094247246022031</v>
      </c>
      <c r="G18" s="354">
        <f>IF(ISNUMBER(
   IF(D_I="SI",(Datos!L18-Datos!V18)/Datos!V18,(Datos!L18+Datos!AF18-(Datos!V18+Datos!AN18))/(Datos!V18+Datos!AN18))
     ),IF(D_I="SI",(Datos!L18-Datos!V18)/Datos!V18,(Datos!L18+Datos!AF18-(Datos!V18+Datos!AN18))/(Datos!V18+Datos!AN18))," - ")</f>
        <v>0.24088748019017434</v>
      </c>
      <c r="H18" s="355">
        <f>IF(ISNUMBER((Datos!M18-Datos!W18)/Datos!W18),(Datos!M18-Datos!W18)/Datos!W18," - ")</f>
        <v>4.1237113402061855E-2</v>
      </c>
      <c r="I18" s="356">
        <f>IF(ISNUMBER((Tasas!C18-Datos!BE18)/Datos!BE18),(Tasas!C18-Datos!BE18)/Datos!BE18," - ")</f>
        <v>0.53374443466773436</v>
      </c>
      <c r="J18" s="354">
        <f>IF(ISNUMBER((Tasas!D18-Datos!BF18)/Datos!BF18),(Tasas!D18-Datos!BF18)/Datos!BF18," - ")</f>
        <v>0.28697537314596755</v>
      </c>
      <c r="K18" s="357">
        <f>IF(ISNUMBER((Tasas!E18-Datos!BG18)/Datos!BG18),(Tasas!E18-Datos!BG18)/Datos!BG18," - ")</f>
        <v>0.2428918790218248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0.27805555555555556</v>
      </c>
      <c r="E19" s="362">
        <f>IF(ISNUMBER(
   IF(J_V="SI",(Datos!J19-Datos!T19)/Datos!T19,(Datos!J19+Datos!Z19-(Datos!T19+Datos!AH19))/(Datos!T19+Datos!AH19))
     ),IF(J_V="SI",(Datos!J19-Datos!T19)/Datos!T19,(Datos!J19+Datos!Z19-(Datos!T19+Datos!AH19))/(Datos!T19+Datos!AH19))," - ")</f>
        <v>-0.25132743362831861</v>
      </c>
      <c r="F19" s="362">
        <f>IF(ISNUMBER(
   IF(J_V="SI",(Datos!K19-Datos!U19)/Datos!U19,(Datos!K19+Datos!AA19-(Datos!U19+Datos!AI19))/(Datos!U19+Datos!AI19))
     ),IF(J_V="SI",(Datos!K19-Datos!U19)/Datos!U19,(Datos!K19+Datos!AA19-(Datos!U19+Datos!AI19))/(Datos!U19+Datos!AI19))," - ")</f>
        <v>-0.30319148936170215</v>
      </c>
      <c r="G19" s="363">
        <f>IF(ISNUMBER(
   IF(J_V="SI",(Datos!L19-Datos!V19)/Datos!V19,(Datos!L19+Datos!AB19-(Datos!V19+Datos!AJ19))/(Datos!V19+Datos!AJ19))
     ),IF(J_V="SI",(Datos!L19-Datos!V19)/Datos!V19,(Datos!L19+Datos!AB19-(Datos!V19+Datos!AJ19))/(Datos!V19+Datos!AJ19))," - ")</f>
        <v>0.24824649298597196</v>
      </c>
      <c r="H19" s="364">
        <f>IF(ISNUMBER((Datos!M19-Datos!W19)/Datos!W19),(Datos!M19-Datos!W19)/Datos!W19," - ")</f>
        <v>-0.45134575569358176</v>
      </c>
      <c r="I19" s="361">
        <f>IF(ISNUMBER((Tasas!C19-Datos!BE19)/Datos!BE19),(Tasas!C19-Datos!BE19)/Datos!BE19," - ")</f>
        <v>0.7913766464226164</v>
      </c>
      <c r="J19" s="362">
        <f>IF(ISNUMBER((Tasas!D19-Datos!BF19)/Datos!BF19),(Tasas!D19-Datos!BF19)/Datos!BF19," - ")</f>
        <v>-0.15299478059810603</v>
      </c>
      <c r="K19" s="363">
        <f>IF(ISNUMBER((Tasas!E19-Datos!BG19)/Datos!BG19),(Tasas!E19-Datos!BG19)/Datos!BG19," - ")</f>
        <v>0.54115624104421234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0.74322164590967155</v>
      </c>
      <c r="E21" s="277">
        <f t="shared" si="1"/>
        <v>0.48074093595578871</v>
      </c>
      <c r="F21" s="277">
        <f t="shared" si="1"/>
        <v>0.46913663981819292</v>
      </c>
      <c r="G21" s="278">
        <f t="shared" si="1"/>
        <v>0.71814404733563442</v>
      </c>
      <c r="H21" s="284">
        <f t="shared" si="1"/>
        <v>0.44984622234839494</v>
      </c>
      <c r="I21" s="276">
        <f t="shared" si="1"/>
        <v>0.29734769718048742</v>
      </c>
      <c r="J21" s="277">
        <f t="shared" si="1"/>
        <v>0.29888273594264703</v>
      </c>
      <c r="K21" s="278">
        <f t="shared" si="1"/>
        <v>0.31911637839501905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Rk5iyP3YtuFqhnhmbjuoPxSrYlWd7sXTOzAAUU53FFFTtJY8B4PD29T5I9o71Loofszy/DxbMIi+hi2vivFJg==" saltValue="WCc559+TbF+aNejs1AJd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